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11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65" windowWidth="15600" windowHeight="4215" tabRatio="809" firstSheet="10" activeTab="10"/>
  </bookViews>
  <sheets>
    <sheet name="Riduzioni consumi VRV" sheetId="19" state="hidden" r:id="rId1"/>
    <sheet name="Rendimenti e consumi chiller" sheetId="21" state="hidden" r:id="rId2"/>
    <sheet name="Rendimenti e consumi caldaia" sheetId="20" state="hidden" r:id="rId3"/>
    <sheet name="Specchio" sheetId="23" state="hidden" r:id="rId4"/>
    <sheet name="Equazioni" sheetId="25" state="hidden" r:id="rId5"/>
    <sheet name="Defrost VRV" sheetId="26" state="hidden" r:id="rId6"/>
    <sheet name="Rendimenti e consumi VRV" sheetId="9" state="hidden" r:id="rId7"/>
    <sheet name="Dati x formule" sheetId="2" state="hidden" r:id="rId8"/>
    <sheet name="Rendimenti e consumi ghp" sheetId="8" state="hidden" r:id="rId9"/>
    <sheet name="Riassunto riferimenti" sheetId="27" state="hidden" r:id="rId10"/>
    <sheet name="1-Ore funzionamento" sheetId="7" r:id="rId11"/>
    <sheet name="2-Dati generali-Cond. utilizzo" sheetId="1" r:id="rId12"/>
    <sheet name="3-Caratteristiche dei sistemi" sheetId="4" r:id="rId13"/>
    <sheet name="4-Costi sistemi" sheetId="3" r:id="rId14"/>
    <sheet name="4bis-Incentivi" sheetId="30" r:id="rId15"/>
    <sheet name="CET Vs Ecobonus" sheetId="33" state="hidden" r:id="rId16"/>
    <sheet name="5-Costi di funziona.- pay back" sheetId="5" r:id="rId17"/>
    <sheet name="6-Società gestione calore" sheetId="18" state="hidden" r:id="rId18"/>
    <sheet name="6 - Riepilogo" sheetId="17" state="hidden" r:id="rId19"/>
    <sheet name="Business Plan" sheetId="13" state="hidden" r:id="rId20"/>
    <sheet name="Lea. fin. 5 Y" sheetId="14" state="hidden" r:id="rId21"/>
    <sheet name="Lea. fin. 7 Y" sheetId="15" state="hidden" r:id="rId22"/>
    <sheet name="WACC" sheetId="16" state="hidden" r:id="rId23"/>
    <sheet name="ANALISI FINALE" sheetId="29" state="hidden" r:id="rId24"/>
    <sheet name="PRINT" sheetId="34" r:id="rId25"/>
  </sheets>
  <definedNames>
    <definedName name="ADDPROV" localSheetId="14">#REF!</definedName>
    <definedName name="ADDPROV">#REF!</definedName>
    <definedName name="_xlnm.Print_Area" localSheetId="10">'1-Ore funzionamento'!$A$1:$AN$31</definedName>
    <definedName name="_xlnm.Print_Area" localSheetId="11">'2-Dati generali-Cond. utilizzo'!$A$1:$D$37</definedName>
    <definedName name="_xlnm.Print_Area" localSheetId="12">'3-Caratteristiche dei sistemi'!$A$1:$V$76</definedName>
    <definedName name="_xlnm.Print_Area" localSheetId="14">'4bis-Incentivi'!$A$1:$C$37</definedName>
    <definedName name="_xlnm.Print_Area" localSheetId="13">'4-Costi sistemi'!$A$1:$I$29</definedName>
    <definedName name="_xlnm.Print_Area" localSheetId="16">'5-Costi di funziona.- pay back'!$A$1:$N$65</definedName>
    <definedName name="_xlnm.Print_Area" localSheetId="24">PRINT!$B$2:$L$76</definedName>
    <definedName name="_xlnm.Print_Area" localSheetId="9">'Riassunto riferimenti'!$A$1:$Z$61</definedName>
    <definedName name="CALEST" localSheetId="14">#REF!</definedName>
    <definedName name="CALEST">#REF!</definedName>
    <definedName name="CALINV" localSheetId="14">#REF!</definedName>
    <definedName name="CALINV">#REF!</definedName>
    <definedName name="CESSIONEEE" localSheetId="14">#REF!</definedName>
    <definedName name="CESSIONEEE">#REF!</definedName>
    <definedName name="CONSUMABILI" localSheetId="14">#REF!</definedName>
    <definedName name="CONSUMABILI">#REF!</definedName>
    <definedName name="CONSUMOM3H10" localSheetId="14">#REF!</definedName>
    <definedName name="CONSUMOM3H10">#REF!</definedName>
    <definedName name="CONSUMOM3H100" localSheetId="14">#REF!</definedName>
    <definedName name="CONSUMOM3H100">#REF!</definedName>
    <definedName name="CONSUMOM3H110" localSheetId="14">#REF!</definedName>
    <definedName name="CONSUMOM3H110">#REF!</definedName>
    <definedName name="CONSUMOM3H20" localSheetId="14">#REF!</definedName>
    <definedName name="CONSUMOM3H20">#REF!</definedName>
    <definedName name="CONSUMOM3H40" localSheetId="14">#REF!</definedName>
    <definedName name="CONSUMOM3H40">#REF!</definedName>
    <definedName name="CONSUMOM3H60" localSheetId="14">#REF!</definedName>
    <definedName name="CONSUMOM3H60">#REF!</definedName>
    <definedName name="CONSUMOM3H80" localSheetId="14">#REF!</definedName>
    <definedName name="CONSUMOM3H80">#REF!</definedName>
    <definedName name="CONSUMOM3H90" localSheetId="14">#REF!</definedName>
    <definedName name="CONSUMOM3H90">#REF!</definedName>
    <definedName name="Copertura_costi_impianto" localSheetId="14">#REF!</definedName>
    <definedName name="Copertura_costi_impianto">#REF!</definedName>
    <definedName name="COSTEE" localSheetId="14">#REF!</definedName>
    <definedName name="COSTEE">#REF!</definedName>
    <definedName name="COSTM3" localSheetId="14">#REF!</definedName>
    <definedName name="COSTM3">#REF!</definedName>
    <definedName name="COSTOINSTALLAZIONE" localSheetId="14">#REF!</definedName>
    <definedName name="COSTOINSTALLAZIONE">#REF!</definedName>
    <definedName name="costoorario" localSheetId="14">#REF!</definedName>
    <definedName name="costoorario">#REF!</definedName>
    <definedName name="COSTOSTD" localSheetId="14">#REF!</definedName>
    <definedName name="COSTOSTD">#REF!</definedName>
    <definedName name="DESCPRODOTTO" localSheetId="14">#REF!</definedName>
    <definedName name="DESCPRODOTTO">#REF!</definedName>
    <definedName name="DESCRIZIONECASISTICA" localSheetId="14">#REF!</definedName>
    <definedName name="DESCRIZIONECASISTICA">#REF!</definedName>
    <definedName name="Durata_anni_finanziamento" localSheetId="14">#REF!</definedName>
    <definedName name="Durata_anni_finanziamento">#REF!</definedName>
    <definedName name="ELEST" localSheetId="14">#REF!</definedName>
    <definedName name="ELEST">#REF!</definedName>
    <definedName name="ELINV" localSheetId="14">#REF!</definedName>
    <definedName name="ELINV">#REF!</definedName>
    <definedName name="IDCASISTICA" localSheetId="14">#REF!</definedName>
    <definedName name="IDCASISTICA">#REF!</definedName>
    <definedName name="IMPOREG" localSheetId="14">#REF!</definedName>
    <definedName name="IMPOREG">#REF!</definedName>
    <definedName name="INDICEPOTENZA10" localSheetId="14">#REF!</definedName>
    <definedName name="INDICEPOTENZA10">#REF!</definedName>
    <definedName name="INDICEPOTENZA100" localSheetId="14">#REF!</definedName>
    <definedName name="INDICEPOTENZA100">#REF!</definedName>
    <definedName name="INDICEPOTENZA110" localSheetId="14">#REF!</definedName>
    <definedName name="INDICEPOTENZA110">#REF!</definedName>
    <definedName name="INDICEPOTENZA20" localSheetId="14">#REF!</definedName>
    <definedName name="INDICEPOTENZA20">#REF!</definedName>
    <definedName name="INDICEPOTENZA40" localSheetId="14">#REF!</definedName>
    <definedName name="INDICEPOTENZA40">#REF!</definedName>
    <definedName name="INDICEPOTENZA60" localSheetId="14">#REF!</definedName>
    <definedName name="INDICEPOTENZA60">#REF!</definedName>
    <definedName name="INDICEPOTENZA80" localSheetId="14">#REF!</definedName>
    <definedName name="INDICEPOTENZA80">#REF!</definedName>
    <definedName name="INDICEPOTENZA90" localSheetId="14">#REF!</definedName>
    <definedName name="INDICEPOTENZA90">#REF!</definedName>
    <definedName name="MT" localSheetId="14">#REF!</definedName>
    <definedName name="MT">#REF!</definedName>
    <definedName name="OPP" localSheetId="14">#REF!</definedName>
    <definedName name="OPP">#REF!</definedName>
    <definedName name="PEA" localSheetId="14">#REF!</definedName>
    <definedName name="PEA">#REF!</definedName>
    <definedName name="PEF" localSheetId="14">#REF!</definedName>
    <definedName name="PEF">#REF!</definedName>
    <definedName name="PERTA10" localSheetId="14">#REF!</definedName>
    <definedName name="PERTA10">#REF!</definedName>
    <definedName name="PERTA100" localSheetId="14">#REF!</definedName>
    <definedName name="PERTA100">#REF!</definedName>
    <definedName name="PERTA110" localSheetId="14">#REF!</definedName>
    <definedName name="PERTA110">#REF!</definedName>
    <definedName name="PERTA20" localSheetId="14">#REF!</definedName>
    <definedName name="PERTA20">#REF!</definedName>
    <definedName name="PERTA40" localSheetId="14">#REF!</definedName>
    <definedName name="PERTA40">#REF!</definedName>
    <definedName name="PERTA60" localSheetId="14">#REF!</definedName>
    <definedName name="PERTA60">#REF!</definedName>
    <definedName name="PERTA80" localSheetId="14">#REF!</definedName>
    <definedName name="PERTA80">#REF!</definedName>
    <definedName name="PERTA90" localSheetId="14">#REF!</definedName>
    <definedName name="PERTA90">#REF!</definedName>
    <definedName name="POTENZAELE10" localSheetId="14">#REF!</definedName>
    <definedName name="POTENZAELE10">#REF!</definedName>
    <definedName name="POTENZAELE100" localSheetId="14">#REF!</definedName>
    <definedName name="POTENZAELE100">#REF!</definedName>
    <definedName name="POTENZAELE110" localSheetId="14">#REF!</definedName>
    <definedName name="POTENZAELE110">#REF!</definedName>
    <definedName name="POTENZAELE20" localSheetId="14">#REF!</definedName>
    <definedName name="POTENZAELE20">#REF!</definedName>
    <definedName name="POTENZAELE40" localSheetId="14">#REF!</definedName>
    <definedName name="POTENZAELE40">#REF!</definedName>
    <definedName name="POTENZAELE60" localSheetId="14">#REF!</definedName>
    <definedName name="POTENZAELE60">#REF!</definedName>
    <definedName name="POTENZAELE80" localSheetId="14">#REF!</definedName>
    <definedName name="POTENZAELE80">#REF!</definedName>
    <definedName name="POTENZAELE90" localSheetId="14">#REF!</definedName>
    <definedName name="POTENZAELE90">#REF!</definedName>
    <definedName name="POTENZATERMICA10" localSheetId="14">#REF!</definedName>
    <definedName name="POTENZATERMICA10">#REF!</definedName>
    <definedName name="POTENZATERMICA100" localSheetId="14">#REF!</definedName>
    <definedName name="POTENZATERMICA100">#REF!</definedName>
    <definedName name="POTENZATERMICA110" localSheetId="14">#REF!</definedName>
    <definedName name="POTENZATERMICA110">#REF!</definedName>
    <definedName name="POTENZATERMICA20" localSheetId="14">#REF!</definedName>
    <definedName name="POTENZATERMICA20">#REF!</definedName>
    <definedName name="POTENZATERMICA40" localSheetId="14">#REF!</definedName>
    <definedName name="POTENZATERMICA40">#REF!</definedName>
    <definedName name="POTENZATERMICA60" localSheetId="14">#REF!</definedName>
    <definedName name="POTENZATERMICA60">#REF!</definedName>
    <definedName name="POTENZATERMICA80" localSheetId="14">#REF!</definedName>
    <definedName name="POTENZATERMICA80">#REF!</definedName>
    <definedName name="POTENZATERMICA90" localSheetId="14">#REF!</definedName>
    <definedName name="POTENZATERMICA90">#REF!</definedName>
    <definedName name="RATALF5" localSheetId="14">#REF!</definedName>
    <definedName name="RATALF5">#REF!</definedName>
    <definedName name="RATALF7" localSheetId="14">#REF!</definedName>
    <definedName name="RATALF7">#REF!</definedName>
    <definedName name="RATALO5" localSheetId="14">#REF!</definedName>
    <definedName name="RATALO5">#REF!</definedName>
    <definedName name="RATALO7" localSheetId="14">#REF!</definedName>
    <definedName name="RATALO7">#REF!</definedName>
    <definedName name="Rate_annuali" localSheetId="14">#REF!</definedName>
    <definedName name="Rate_annuali">#REF!</definedName>
    <definedName name="RENDTERMATT" localSheetId="14">#REF!</definedName>
    <definedName name="RENDTERMATT">#REF!</definedName>
    <definedName name="Tabella_caratteristiche_ghp">'Dati x formule'!$A$15:$O$29</definedName>
    <definedName name="Tabella_rendimenti_Ghp_cooling" localSheetId="14">'Dati x formule'!#REF!</definedName>
    <definedName name="Tabella_rendimenti_Ghp_cooling">'Dati x formule'!#REF!</definedName>
    <definedName name="Tabella_rendimenti_Ghp_heating" localSheetId="14">'Dati x formule'!#REF!</definedName>
    <definedName name="Tabella_rendimenti_Ghp_heating">'Dati x formule'!#REF!</definedName>
    <definedName name="Tabella_tipo_gas">'Dati x formule'!$A$4:$C$7</definedName>
    <definedName name="Tabella_tipo_impianto">'Dati x formule'!$G$4:$G$9</definedName>
    <definedName name="Tabella_zona_climatica" localSheetId="14">'Dati x formule'!#REF!</definedName>
    <definedName name="Tabella_zona_climatica">'Dati x formule'!#REF!</definedName>
    <definedName name="Tasso_di_interesse_annuale" localSheetId="14">#REF!</definedName>
    <definedName name="Tasso_di_interesse_annuale">#REF!</definedName>
    <definedName name="UPS" localSheetId="14">#REF!</definedName>
    <definedName name="UPS">#REF!</definedName>
  </definedNames>
  <calcPr calcId="145621"/>
</workbook>
</file>

<file path=xl/calcChain.xml><?xml version="1.0" encoding="utf-8"?>
<calcChain xmlns="http://schemas.openxmlformats.org/spreadsheetml/2006/main">
  <c r="G47" i="30" l="1"/>
  <c r="G45" i="30"/>
  <c r="G43" i="30"/>
  <c r="F65" i="5"/>
  <c r="C45" i="30"/>
  <c r="C43" i="30"/>
  <c r="D16" i="34" l="1"/>
  <c r="C16" i="34"/>
  <c r="C15" i="34"/>
  <c r="D15" i="34"/>
  <c r="C17" i="34"/>
  <c r="C19" i="34"/>
  <c r="C18" i="34"/>
  <c r="C20" i="34"/>
  <c r="E4" i="33"/>
  <c r="E49" i="30"/>
  <c r="A49" i="30"/>
  <c r="C47" i="30" s="1"/>
  <c r="G44" i="30"/>
  <c r="C44" i="30"/>
  <c r="G36" i="30" l="1"/>
  <c r="C36" i="30"/>
  <c r="G35" i="30"/>
  <c r="G22" i="4" l="1"/>
  <c r="F22" i="4"/>
  <c r="E22" i="4"/>
  <c r="P38" i="8"/>
  <c r="P34" i="8"/>
  <c r="P80" i="8" l="1"/>
  <c r="P79" i="8"/>
  <c r="P78" i="8"/>
  <c r="P77" i="8"/>
  <c r="P73" i="8"/>
  <c r="P72" i="8"/>
  <c r="P71" i="8"/>
  <c r="P70" i="8"/>
  <c r="P66" i="8"/>
  <c r="P65" i="8"/>
  <c r="P64" i="8"/>
  <c r="P63" i="8"/>
  <c r="P59" i="8"/>
  <c r="P58" i="8"/>
  <c r="P57" i="8"/>
  <c r="P56" i="8"/>
  <c r="P52" i="8"/>
  <c r="P51" i="8"/>
  <c r="P50" i="8"/>
  <c r="P49" i="8"/>
  <c r="P45" i="8"/>
  <c r="P44" i="8"/>
  <c r="P43" i="8"/>
  <c r="P42" i="8"/>
  <c r="P37" i="8"/>
  <c r="P36" i="8"/>
  <c r="P35" i="8"/>
  <c r="P31" i="8"/>
  <c r="P30" i="8"/>
  <c r="P29" i="8"/>
  <c r="P28" i="8"/>
  <c r="H29" i="8"/>
  <c r="H30" i="8"/>
  <c r="H31" i="8"/>
  <c r="H36" i="8"/>
  <c r="H37" i="8"/>
  <c r="H38" i="8"/>
  <c r="H43" i="8"/>
  <c r="H44" i="8"/>
  <c r="H45" i="8"/>
  <c r="H50" i="8"/>
  <c r="H51" i="8"/>
  <c r="H52" i="8"/>
  <c r="H57" i="8"/>
  <c r="H58" i="8"/>
  <c r="H59" i="8"/>
  <c r="H64" i="8"/>
  <c r="H65" i="8"/>
  <c r="H66" i="8"/>
  <c r="H71" i="8"/>
  <c r="H72" i="8"/>
  <c r="H73" i="8"/>
  <c r="H78" i="8"/>
  <c r="H79" i="8"/>
  <c r="H80" i="8"/>
  <c r="H77" i="8"/>
  <c r="H70" i="8"/>
  <c r="H63" i="8"/>
  <c r="H56" i="8"/>
  <c r="H49" i="8"/>
  <c r="H42" i="8"/>
  <c r="H35" i="8"/>
  <c r="H28" i="8"/>
  <c r="E29" i="30" l="1"/>
  <c r="G27" i="30" s="1"/>
  <c r="E11" i="30"/>
  <c r="A11" i="30"/>
  <c r="A29" i="30" l="1"/>
  <c r="J7" i="33" l="1"/>
  <c r="J46" i="33" l="1"/>
  <c r="J45" i="33"/>
  <c r="J44" i="33"/>
  <c r="E46" i="33"/>
  <c r="E45" i="33"/>
  <c r="E44" i="33"/>
  <c r="F44" i="33" s="1"/>
  <c r="C46" i="33"/>
  <c r="C45" i="33"/>
  <c r="C44" i="33"/>
  <c r="J39" i="33"/>
  <c r="J38" i="33"/>
  <c r="J37" i="33"/>
  <c r="E39" i="33"/>
  <c r="E38" i="33"/>
  <c r="F38" i="33" s="1"/>
  <c r="E37" i="33"/>
  <c r="E30" i="33"/>
  <c r="C39" i="33"/>
  <c r="C38" i="33"/>
  <c r="C37" i="33"/>
  <c r="C30" i="33"/>
  <c r="J32" i="33"/>
  <c r="J31" i="33"/>
  <c r="J30" i="33"/>
  <c r="E32" i="33"/>
  <c r="F32" i="33" s="1"/>
  <c r="E31" i="33"/>
  <c r="C32" i="33"/>
  <c r="C31" i="33"/>
  <c r="F37" i="33" l="1"/>
  <c r="F45" i="33"/>
  <c r="F46" i="33"/>
  <c r="F39" i="33"/>
  <c r="E3" i="33"/>
  <c r="H31" i="33" s="1"/>
  <c r="E7" i="33"/>
  <c r="J25" i="33"/>
  <c r="J24" i="33"/>
  <c r="J23" i="33"/>
  <c r="C25" i="33"/>
  <c r="C24" i="33"/>
  <c r="C23" i="33"/>
  <c r="E25" i="33"/>
  <c r="E24" i="33"/>
  <c r="E23" i="33"/>
  <c r="G37" i="33" l="1"/>
  <c r="H45" i="33"/>
  <c r="H44" i="33"/>
  <c r="H30" i="33"/>
  <c r="G44" i="33"/>
  <c r="H32" i="33"/>
  <c r="H46" i="33"/>
  <c r="H23" i="33"/>
  <c r="H39" i="33"/>
  <c r="I39" i="33" s="1"/>
  <c r="K39" i="33" s="1"/>
  <c r="H37" i="33"/>
  <c r="H38" i="33"/>
  <c r="I38" i="33" s="1"/>
  <c r="K38" i="33" s="1"/>
  <c r="H24" i="33"/>
  <c r="H25" i="33"/>
  <c r="I37" i="33" l="1"/>
  <c r="K37" i="33" s="1"/>
  <c r="I46" i="33"/>
  <c r="K46" i="33" s="1"/>
  <c r="I45" i="33"/>
  <c r="K45" i="33" s="1"/>
  <c r="I44" i="33"/>
  <c r="K44" i="33" s="1"/>
  <c r="L37" i="33"/>
  <c r="Y57" i="7"/>
  <c r="Y58" i="7"/>
  <c r="Y59" i="7"/>
  <c r="Y60" i="7"/>
  <c r="Y61" i="7"/>
  <c r="Y62" i="7"/>
  <c r="Y63" i="7"/>
  <c r="Y64" i="7"/>
  <c r="Y65" i="7"/>
  <c r="Y66" i="7"/>
  <c r="Y67" i="7"/>
  <c r="Y56" i="7"/>
  <c r="X57" i="7"/>
  <c r="X58" i="7"/>
  <c r="X59" i="7"/>
  <c r="X60" i="7"/>
  <c r="X61" i="7"/>
  <c r="AB12" i="7" s="1"/>
  <c r="X62" i="7"/>
  <c r="X63" i="7"/>
  <c r="AB14" i="7" s="1"/>
  <c r="X64" i="7"/>
  <c r="X65" i="7"/>
  <c r="X66" i="7"/>
  <c r="X67" i="7"/>
  <c r="X56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33" i="7" s="1"/>
  <c r="P63" i="7"/>
  <c r="P62" i="7"/>
  <c r="P61" i="7"/>
  <c r="P60" i="7"/>
  <c r="P59" i="7"/>
  <c r="P58" i="7"/>
  <c r="P57" i="7"/>
  <c r="P56" i="7"/>
  <c r="I79" i="7"/>
  <c r="I78" i="7"/>
  <c r="I57" i="7"/>
  <c r="I56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M79" i="7"/>
  <c r="M58" i="7"/>
  <c r="M57" i="7"/>
  <c r="M56" i="7"/>
  <c r="K79" i="7"/>
  <c r="K78" i="7"/>
  <c r="K57" i="7"/>
  <c r="K56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62" i="7"/>
  <c r="D61" i="7"/>
  <c r="D60" i="7"/>
  <c r="D59" i="7"/>
  <c r="D58" i="7"/>
  <c r="D57" i="7"/>
  <c r="D56" i="7"/>
  <c r="B57" i="7"/>
  <c r="B58" i="7"/>
  <c r="B59" i="7"/>
  <c r="B60" i="7"/>
  <c r="B61" i="7"/>
  <c r="B62" i="7"/>
  <c r="B56" i="7"/>
  <c r="T32" i="7"/>
  <c r="T31" i="7"/>
  <c r="F32" i="7"/>
  <c r="F31" i="7"/>
  <c r="M30" i="7"/>
  <c r="M29" i="7"/>
  <c r="M78" i="7" s="1"/>
  <c r="M28" i="7"/>
  <c r="M77" i="7" s="1"/>
  <c r="M27" i="7"/>
  <c r="M76" i="7" s="1"/>
  <c r="M26" i="7"/>
  <c r="M75" i="7" s="1"/>
  <c r="M25" i="7"/>
  <c r="M74" i="7" s="1"/>
  <c r="M24" i="7"/>
  <c r="M73" i="7" s="1"/>
  <c r="M23" i="7"/>
  <c r="M72" i="7" s="1"/>
  <c r="M22" i="7"/>
  <c r="M71" i="7" s="1"/>
  <c r="M21" i="7"/>
  <c r="M70" i="7" s="1"/>
  <c r="M20" i="7"/>
  <c r="M69" i="7" s="1"/>
  <c r="M19" i="7"/>
  <c r="M68" i="7" s="1"/>
  <c r="M18" i="7"/>
  <c r="M67" i="7" s="1"/>
  <c r="M17" i="7"/>
  <c r="M66" i="7" s="1"/>
  <c r="M16" i="7"/>
  <c r="M65" i="7" s="1"/>
  <c r="M15" i="7"/>
  <c r="M64" i="7" s="1"/>
  <c r="M14" i="7"/>
  <c r="M63" i="7" s="1"/>
  <c r="M13" i="7"/>
  <c r="M62" i="7" s="1"/>
  <c r="M12" i="7"/>
  <c r="M61" i="7" s="1"/>
  <c r="M11" i="7"/>
  <c r="M60" i="7" s="1"/>
  <c r="M10" i="7"/>
  <c r="M59" i="7" s="1"/>
  <c r="M9" i="7"/>
  <c r="M8" i="7"/>
  <c r="M7" i="7"/>
  <c r="K30" i="7"/>
  <c r="K29" i="7"/>
  <c r="K28" i="7"/>
  <c r="K77" i="7" s="1"/>
  <c r="K27" i="7"/>
  <c r="K76" i="7" s="1"/>
  <c r="K26" i="7"/>
  <c r="K75" i="7" s="1"/>
  <c r="K25" i="7"/>
  <c r="K74" i="7" s="1"/>
  <c r="K24" i="7"/>
  <c r="K73" i="7" s="1"/>
  <c r="K23" i="7"/>
  <c r="K72" i="7" s="1"/>
  <c r="K22" i="7"/>
  <c r="K71" i="7" s="1"/>
  <c r="K21" i="7"/>
  <c r="K70" i="7" s="1"/>
  <c r="K20" i="7"/>
  <c r="K69" i="7" s="1"/>
  <c r="K19" i="7"/>
  <c r="K68" i="7" s="1"/>
  <c r="K18" i="7"/>
  <c r="K67" i="7" s="1"/>
  <c r="K17" i="7"/>
  <c r="K66" i="7" s="1"/>
  <c r="K16" i="7"/>
  <c r="K65" i="7" s="1"/>
  <c r="K15" i="7"/>
  <c r="K64" i="7" s="1"/>
  <c r="K14" i="7"/>
  <c r="K63" i="7" s="1"/>
  <c r="K13" i="7"/>
  <c r="K62" i="7" s="1"/>
  <c r="K12" i="7"/>
  <c r="K61" i="7" s="1"/>
  <c r="K11" i="7"/>
  <c r="K60" i="7" s="1"/>
  <c r="K10" i="7"/>
  <c r="K59" i="7" s="1"/>
  <c r="K9" i="7"/>
  <c r="K58" i="7" s="1"/>
  <c r="K8" i="7"/>
  <c r="K7" i="7"/>
  <c r="I8" i="7"/>
  <c r="I9" i="7"/>
  <c r="I58" i="7" s="1"/>
  <c r="I10" i="7"/>
  <c r="I59" i="7" s="1"/>
  <c r="I11" i="7"/>
  <c r="I60" i="7" s="1"/>
  <c r="I12" i="7"/>
  <c r="I61" i="7" s="1"/>
  <c r="I13" i="7"/>
  <c r="I62" i="7" s="1"/>
  <c r="I14" i="7"/>
  <c r="I63" i="7" s="1"/>
  <c r="I15" i="7"/>
  <c r="I64" i="7" s="1"/>
  <c r="I16" i="7"/>
  <c r="I65" i="7" s="1"/>
  <c r="I17" i="7"/>
  <c r="I66" i="7" s="1"/>
  <c r="I18" i="7"/>
  <c r="I67" i="7" s="1"/>
  <c r="I19" i="7"/>
  <c r="I68" i="7" s="1"/>
  <c r="I20" i="7"/>
  <c r="I69" i="7" s="1"/>
  <c r="I21" i="7"/>
  <c r="I70" i="7" s="1"/>
  <c r="I22" i="7"/>
  <c r="I71" i="7" s="1"/>
  <c r="I23" i="7"/>
  <c r="I72" i="7" s="1"/>
  <c r="I24" i="7"/>
  <c r="I73" i="7" s="1"/>
  <c r="I25" i="7"/>
  <c r="I74" i="7" s="1"/>
  <c r="I26" i="7"/>
  <c r="I75" i="7" s="1"/>
  <c r="I27" i="7"/>
  <c r="I76" i="7" s="1"/>
  <c r="I28" i="7"/>
  <c r="I77" i="7" s="1"/>
  <c r="I29" i="7"/>
  <c r="I30" i="7"/>
  <c r="I7" i="7"/>
  <c r="B33" i="7" l="1"/>
  <c r="P31" i="7"/>
  <c r="B32" i="7"/>
  <c r="B34" i="7"/>
  <c r="P32" i="7"/>
  <c r="B31" i="7"/>
  <c r="R31" i="7"/>
  <c r="Z7" i="7" s="1"/>
  <c r="R32" i="7"/>
  <c r="L44" i="33"/>
  <c r="P34" i="7"/>
  <c r="Z18" i="7"/>
  <c r="AB18" i="7"/>
  <c r="AB17" i="7"/>
  <c r="AB9" i="7"/>
  <c r="AB16" i="7"/>
  <c r="K31" i="7"/>
  <c r="Y18" i="7"/>
  <c r="Y17" i="7"/>
  <c r="Y16" i="7"/>
  <c r="Z16" i="7" s="1"/>
  <c r="AB10" i="7"/>
  <c r="Y10" i="7"/>
  <c r="Z10" i="7" s="1"/>
  <c r="Y9" i="7"/>
  <c r="AB8" i="7"/>
  <c r="Y8" i="7"/>
  <c r="Y7" i="7"/>
  <c r="AB7" i="7"/>
  <c r="AA91" i="7"/>
  <c r="Y15" i="7"/>
  <c r="Z15" i="7" s="1"/>
  <c r="AB15" i="7"/>
  <c r="Y14" i="7"/>
  <c r="Z14" i="7" s="1"/>
  <c r="Y13" i="7"/>
  <c r="AB13" i="7"/>
  <c r="Y12" i="7"/>
  <c r="Y11" i="7"/>
  <c r="Z11" i="7" s="1"/>
  <c r="AB11" i="7"/>
  <c r="X80" i="7"/>
  <c r="X21" i="7" s="1"/>
  <c r="M31" i="7"/>
  <c r="M32" i="7"/>
  <c r="K32" i="7"/>
  <c r="I31" i="7"/>
  <c r="I34" i="7"/>
  <c r="I33" i="7"/>
  <c r="I32" i="7"/>
  <c r="D31" i="7"/>
  <c r="AC9" i="7" s="1"/>
  <c r="D32" i="7"/>
  <c r="B11" i="29"/>
  <c r="I14" i="29" s="1"/>
  <c r="E14" i="29"/>
  <c r="B14" i="29"/>
  <c r="F5" i="29"/>
  <c r="F4" i="29"/>
  <c r="C9" i="29"/>
  <c r="E11" i="29"/>
  <c r="D25" i="1"/>
  <c r="D31" i="1" s="1"/>
  <c r="D24" i="1"/>
  <c r="D30" i="1" s="1"/>
  <c r="C21" i="1"/>
  <c r="C10" i="17" s="1"/>
  <c r="E43" i="4"/>
  <c r="D29" i="1"/>
  <c r="D26" i="1"/>
  <c r="G50" i="4"/>
  <c r="G49" i="4"/>
  <c r="G48" i="4"/>
  <c r="G47" i="4"/>
  <c r="G46" i="4"/>
  <c r="G45" i="4"/>
  <c r="F50" i="4"/>
  <c r="F49" i="4"/>
  <c r="F48" i="4"/>
  <c r="F47" i="4"/>
  <c r="F46" i="4"/>
  <c r="F45" i="4"/>
  <c r="G44" i="4"/>
  <c r="F44" i="4"/>
  <c r="G43" i="4"/>
  <c r="F43" i="4"/>
  <c r="E50" i="4"/>
  <c r="I50" i="4" s="1"/>
  <c r="E49" i="4"/>
  <c r="I49" i="4" s="1"/>
  <c r="E48" i="4"/>
  <c r="E47" i="4"/>
  <c r="I47" i="4" s="1"/>
  <c r="E46" i="4"/>
  <c r="I46" i="4" s="1"/>
  <c r="E45" i="4"/>
  <c r="E44" i="4"/>
  <c r="E32" i="4"/>
  <c r="G39" i="4"/>
  <c r="G38" i="4"/>
  <c r="G37" i="4"/>
  <c r="G36" i="4"/>
  <c r="G35" i="4"/>
  <c r="G34" i="4"/>
  <c r="G33" i="4"/>
  <c r="G32" i="4"/>
  <c r="F39" i="4"/>
  <c r="F38" i="4"/>
  <c r="F37" i="4"/>
  <c r="F36" i="4"/>
  <c r="F35" i="4"/>
  <c r="F34" i="4"/>
  <c r="F33" i="4"/>
  <c r="E39" i="4"/>
  <c r="E38" i="4"/>
  <c r="E37" i="4"/>
  <c r="E36" i="4"/>
  <c r="E35" i="4"/>
  <c r="E34" i="4"/>
  <c r="F32" i="4"/>
  <c r="I32" i="4" s="1"/>
  <c r="E33" i="4"/>
  <c r="I33" i="4" s="1"/>
  <c r="G57" i="27"/>
  <c r="E57" i="27"/>
  <c r="L57" i="27" s="1"/>
  <c r="T57" i="27" s="1"/>
  <c r="D57" i="27"/>
  <c r="K57" i="27" s="1"/>
  <c r="S57" i="27" s="1"/>
  <c r="C57" i="27"/>
  <c r="J57" i="27" s="1"/>
  <c r="R57" i="27" s="1"/>
  <c r="G56" i="27"/>
  <c r="E56" i="27"/>
  <c r="L56" i="27" s="1"/>
  <c r="T56" i="27" s="1"/>
  <c r="D56" i="27"/>
  <c r="K56" i="27"/>
  <c r="S56" i="27" s="1"/>
  <c r="C56" i="27"/>
  <c r="J56" i="27" s="1"/>
  <c r="R56" i="27" s="1"/>
  <c r="B56" i="27"/>
  <c r="I56" i="27" s="1"/>
  <c r="Q56" i="27" s="1"/>
  <c r="D51" i="27"/>
  <c r="F43" i="27"/>
  <c r="E43" i="27"/>
  <c r="D43" i="27"/>
  <c r="U27" i="27"/>
  <c r="S27" i="27"/>
  <c r="Q27" i="27"/>
  <c r="N27" i="27"/>
  <c r="L27" i="27"/>
  <c r="J27" i="27"/>
  <c r="G27" i="27"/>
  <c r="E27" i="27"/>
  <c r="C27" i="27"/>
  <c r="U26" i="27"/>
  <c r="S26" i="27"/>
  <c r="Q26" i="27"/>
  <c r="N26" i="27"/>
  <c r="L26" i="27"/>
  <c r="J26" i="27"/>
  <c r="G26" i="27"/>
  <c r="E26" i="27"/>
  <c r="C26" i="27"/>
  <c r="U25" i="27"/>
  <c r="S25" i="27"/>
  <c r="Q25" i="27"/>
  <c r="N25" i="27"/>
  <c r="L25" i="27"/>
  <c r="J25" i="27"/>
  <c r="G25" i="27"/>
  <c r="E25" i="27"/>
  <c r="C25" i="27"/>
  <c r="U24" i="27"/>
  <c r="S24" i="27"/>
  <c r="Q24" i="27"/>
  <c r="N24" i="27"/>
  <c r="L24" i="27"/>
  <c r="J24" i="27"/>
  <c r="G24" i="27"/>
  <c r="E24" i="27"/>
  <c r="C24" i="27"/>
  <c r="U23" i="27"/>
  <c r="S23" i="27"/>
  <c r="Q23" i="27"/>
  <c r="N23" i="27"/>
  <c r="L23" i="27"/>
  <c r="J23" i="27"/>
  <c r="G23" i="27"/>
  <c r="E23" i="27"/>
  <c r="C23" i="27"/>
  <c r="U22" i="27"/>
  <c r="S22" i="27"/>
  <c r="Q22" i="27"/>
  <c r="N22" i="27"/>
  <c r="L22" i="27"/>
  <c r="J22" i="27"/>
  <c r="G22" i="27"/>
  <c r="E22" i="27"/>
  <c r="C22" i="27"/>
  <c r="U21" i="27"/>
  <c r="S21" i="27"/>
  <c r="Q21" i="27"/>
  <c r="N21" i="27"/>
  <c r="L21" i="27"/>
  <c r="J21" i="27"/>
  <c r="G21" i="27"/>
  <c r="E21" i="27"/>
  <c r="C21" i="27"/>
  <c r="U20" i="27"/>
  <c r="S20" i="27"/>
  <c r="Q20" i="27"/>
  <c r="N20" i="27"/>
  <c r="L20" i="27"/>
  <c r="J20" i="27"/>
  <c r="G20" i="27"/>
  <c r="E20" i="27"/>
  <c r="C20" i="27"/>
  <c r="U19" i="27"/>
  <c r="S19" i="27"/>
  <c r="Q19" i="27"/>
  <c r="N19" i="27"/>
  <c r="L19" i="27"/>
  <c r="J19" i="27"/>
  <c r="G19" i="27"/>
  <c r="E19" i="27"/>
  <c r="C19" i="27"/>
  <c r="U18" i="27"/>
  <c r="S18" i="27"/>
  <c r="Q18" i="27"/>
  <c r="N18" i="27"/>
  <c r="L18" i="27"/>
  <c r="J18" i="27"/>
  <c r="G18" i="27"/>
  <c r="E18" i="27"/>
  <c r="C18" i="27"/>
  <c r="U17" i="27"/>
  <c r="S17" i="27"/>
  <c r="Q17" i="27"/>
  <c r="N17" i="27"/>
  <c r="L17" i="27"/>
  <c r="J17" i="27"/>
  <c r="G17" i="27"/>
  <c r="E17" i="27"/>
  <c r="C17" i="27"/>
  <c r="U16" i="27"/>
  <c r="S16" i="27"/>
  <c r="Q16" i="27"/>
  <c r="N16" i="27"/>
  <c r="L16" i="27"/>
  <c r="J16" i="27"/>
  <c r="G16" i="27"/>
  <c r="E16" i="27"/>
  <c r="C16" i="27"/>
  <c r="Z15" i="27"/>
  <c r="Y15" i="27"/>
  <c r="U15" i="27"/>
  <c r="S15" i="27"/>
  <c r="Q15" i="27"/>
  <c r="N15" i="27"/>
  <c r="L15" i="27"/>
  <c r="J15" i="27"/>
  <c r="G15" i="27"/>
  <c r="E15" i="27"/>
  <c r="C15" i="27"/>
  <c r="Z14" i="27"/>
  <c r="Y14" i="27"/>
  <c r="U14" i="27"/>
  <c r="S14" i="27"/>
  <c r="Q14" i="27"/>
  <c r="N14" i="27"/>
  <c r="L14" i="27"/>
  <c r="J14" i="27"/>
  <c r="G14" i="27"/>
  <c r="E14" i="27"/>
  <c r="C14" i="27"/>
  <c r="Z13" i="27"/>
  <c r="Y13" i="27"/>
  <c r="U13" i="27"/>
  <c r="S13" i="27"/>
  <c r="Q13" i="27"/>
  <c r="N13" i="27"/>
  <c r="L13" i="27"/>
  <c r="J13" i="27"/>
  <c r="G13" i="27"/>
  <c r="E13" i="27"/>
  <c r="C13" i="27"/>
  <c r="Z12" i="27"/>
  <c r="Y12" i="27"/>
  <c r="U12" i="27"/>
  <c r="S12" i="27"/>
  <c r="Q12" i="27"/>
  <c r="N12" i="27"/>
  <c r="L12" i="27"/>
  <c r="J12" i="27"/>
  <c r="G12" i="27"/>
  <c r="E12" i="27"/>
  <c r="C12" i="27"/>
  <c r="Z11" i="27"/>
  <c r="Y11" i="27"/>
  <c r="U11" i="27"/>
  <c r="S11" i="27"/>
  <c r="Q11" i="27"/>
  <c r="N11" i="27"/>
  <c r="L11" i="27"/>
  <c r="J11" i="27"/>
  <c r="G11" i="27"/>
  <c r="E11" i="27"/>
  <c r="C11" i="27"/>
  <c r="Z10" i="27"/>
  <c r="Y10" i="27"/>
  <c r="U10" i="27"/>
  <c r="S10" i="27"/>
  <c r="Q10" i="27"/>
  <c r="N10" i="27"/>
  <c r="L10" i="27"/>
  <c r="J10" i="27"/>
  <c r="G10" i="27"/>
  <c r="E10" i="27"/>
  <c r="C10" i="27"/>
  <c r="Z9" i="27"/>
  <c r="Y9" i="27"/>
  <c r="U9" i="27"/>
  <c r="S9" i="27"/>
  <c r="Q9" i="27"/>
  <c r="N9" i="27"/>
  <c r="L9" i="27"/>
  <c r="J9" i="27"/>
  <c r="G9" i="27"/>
  <c r="E9" i="27"/>
  <c r="C9" i="27"/>
  <c r="Z8" i="27"/>
  <c r="Y8" i="27"/>
  <c r="U8" i="27"/>
  <c r="S8" i="27"/>
  <c r="Q8" i="27"/>
  <c r="N8" i="27"/>
  <c r="L8" i="27"/>
  <c r="J8" i="27"/>
  <c r="G8" i="27"/>
  <c r="E8" i="27"/>
  <c r="C8" i="27"/>
  <c r="Z7" i="27"/>
  <c r="Y7" i="27"/>
  <c r="U7" i="27"/>
  <c r="S7" i="27"/>
  <c r="Q7" i="27"/>
  <c r="N7" i="27"/>
  <c r="L7" i="27"/>
  <c r="J7" i="27"/>
  <c r="G7" i="27"/>
  <c r="E7" i="27"/>
  <c r="C7" i="27"/>
  <c r="Z6" i="27"/>
  <c r="Y6" i="27"/>
  <c r="U6" i="27"/>
  <c r="S6" i="27"/>
  <c r="Q6" i="27"/>
  <c r="N6" i="27"/>
  <c r="L6" i="27"/>
  <c r="J6" i="27"/>
  <c r="G6" i="27"/>
  <c r="E6" i="27"/>
  <c r="C6" i="27"/>
  <c r="Z5" i="27"/>
  <c r="Y5" i="27"/>
  <c r="U5" i="27"/>
  <c r="S5" i="27"/>
  <c r="Q5" i="27"/>
  <c r="N5" i="27"/>
  <c r="L5" i="27"/>
  <c r="J5" i="27"/>
  <c r="G5" i="27"/>
  <c r="E5" i="27"/>
  <c r="C5" i="27"/>
  <c r="Z4" i="27"/>
  <c r="Y4" i="27"/>
  <c r="U4" i="27"/>
  <c r="S4" i="27"/>
  <c r="Q4" i="27"/>
  <c r="N4" i="27"/>
  <c r="L4" i="27"/>
  <c r="J4" i="27"/>
  <c r="G4" i="27"/>
  <c r="E4" i="27"/>
  <c r="C4" i="27"/>
  <c r="E67" i="8"/>
  <c r="B13" i="9"/>
  <c r="M14" i="4"/>
  <c r="P14" i="4"/>
  <c r="O15" i="4" s="1"/>
  <c r="S14" i="4"/>
  <c r="R15" i="4" s="1"/>
  <c r="D75" i="26"/>
  <c r="F19" i="26" s="1"/>
  <c r="F9" i="19"/>
  <c r="G9" i="19"/>
  <c r="H9" i="19"/>
  <c r="I9" i="19"/>
  <c r="F10" i="19"/>
  <c r="G10" i="19"/>
  <c r="H10" i="19"/>
  <c r="I10" i="19"/>
  <c r="F11" i="19"/>
  <c r="G11" i="19"/>
  <c r="H11" i="19"/>
  <c r="I11" i="19"/>
  <c r="F12" i="19"/>
  <c r="G12" i="19"/>
  <c r="H12" i="19"/>
  <c r="I12" i="19"/>
  <c r="F13" i="19"/>
  <c r="G13" i="19"/>
  <c r="H13" i="19"/>
  <c r="I13" i="19"/>
  <c r="F14" i="19"/>
  <c r="G14" i="19"/>
  <c r="H14" i="19"/>
  <c r="I14" i="19"/>
  <c r="D11" i="9"/>
  <c r="F15" i="19"/>
  <c r="G15" i="19"/>
  <c r="H15" i="19"/>
  <c r="I15" i="19"/>
  <c r="F16" i="19"/>
  <c r="G16" i="19"/>
  <c r="H16" i="19"/>
  <c r="I16" i="19"/>
  <c r="F17" i="19"/>
  <c r="G17" i="19"/>
  <c r="H17" i="19"/>
  <c r="I17" i="19"/>
  <c r="F18" i="19"/>
  <c r="G18" i="19"/>
  <c r="H18" i="19"/>
  <c r="I18" i="19"/>
  <c r="F19" i="19"/>
  <c r="G19" i="19"/>
  <c r="H19" i="19"/>
  <c r="I19" i="19"/>
  <c r="F20" i="19"/>
  <c r="G20" i="19"/>
  <c r="H20" i="19"/>
  <c r="I20" i="19"/>
  <c r="F21" i="19"/>
  <c r="G21" i="19"/>
  <c r="H21" i="19"/>
  <c r="I21" i="19"/>
  <c r="F22" i="19"/>
  <c r="G22" i="19"/>
  <c r="H22" i="19"/>
  <c r="I22" i="19"/>
  <c r="F23" i="19"/>
  <c r="G23" i="19"/>
  <c r="H23" i="19"/>
  <c r="I23" i="19"/>
  <c r="F24" i="19"/>
  <c r="G24" i="19"/>
  <c r="H24" i="19"/>
  <c r="I24" i="19"/>
  <c r="F25" i="19"/>
  <c r="G25" i="19"/>
  <c r="H25" i="19"/>
  <c r="I25" i="19"/>
  <c r="F26" i="19"/>
  <c r="G26" i="19"/>
  <c r="H26" i="19"/>
  <c r="I26" i="19"/>
  <c r="F27" i="19"/>
  <c r="G27" i="19"/>
  <c r="H27" i="19"/>
  <c r="I27" i="19"/>
  <c r="F28" i="19"/>
  <c r="G28" i="19"/>
  <c r="H28" i="19"/>
  <c r="I28" i="19"/>
  <c r="F29" i="19"/>
  <c r="G29" i="19"/>
  <c r="H29" i="19"/>
  <c r="I29" i="19"/>
  <c r="F30" i="19"/>
  <c r="G30" i="19"/>
  <c r="H30" i="19"/>
  <c r="I30" i="19"/>
  <c r="F31" i="19"/>
  <c r="G31" i="19"/>
  <c r="H31" i="19"/>
  <c r="I31" i="19"/>
  <c r="F32" i="19"/>
  <c r="G32" i="19"/>
  <c r="H32" i="19"/>
  <c r="I32" i="19"/>
  <c r="F33" i="19"/>
  <c r="G33" i="19"/>
  <c r="H33" i="19"/>
  <c r="I33" i="19"/>
  <c r="F34" i="19"/>
  <c r="G34" i="19"/>
  <c r="H34" i="19"/>
  <c r="I34" i="19"/>
  <c r="F35" i="19"/>
  <c r="G35" i="19"/>
  <c r="H35" i="19"/>
  <c r="I35" i="19"/>
  <c r="F36" i="19"/>
  <c r="G36" i="19"/>
  <c r="H36" i="19"/>
  <c r="I36" i="19"/>
  <c r="F37" i="19"/>
  <c r="G37" i="19"/>
  <c r="H37" i="19"/>
  <c r="I37" i="19"/>
  <c r="F38" i="19"/>
  <c r="G38" i="19"/>
  <c r="H38" i="19"/>
  <c r="I38" i="19"/>
  <c r="N58" i="4"/>
  <c r="Q58" i="4"/>
  <c r="N59" i="4"/>
  <c r="Q59" i="4"/>
  <c r="N60" i="4"/>
  <c r="Q60" i="4"/>
  <c r="N61" i="4"/>
  <c r="Q61" i="4"/>
  <c r="N62" i="4"/>
  <c r="Q62" i="4"/>
  <c r="N63" i="4"/>
  <c r="Q63" i="4"/>
  <c r="N64" i="4"/>
  <c r="Q64" i="4"/>
  <c r="E14" i="4"/>
  <c r="D26" i="17" s="1"/>
  <c r="F14" i="4"/>
  <c r="E26" i="17" s="1"/>
  <c r="G14" i="4"/>
  <c r="F26" i="17" s="1"/>
  <c r="O70" i="5"/>
  <c r="H13" i="9"/>
  <c r="F5" i="26"/>
  <c r="J5" i="26"/>
  <c r="D71" i="26" s="1"/>
  <c r="J11" i="9"/>
  <c r="N69" i="4"/>
  <c r="Q69" i="4"/>
  <c r="N70" i="4"/>
  <c r="Q70" i="4"/>
  <c r="N71" i="4"/>
  <c r="Q71" i="4"/>
  <c r="N72" i="4"/>
  <c r="Q72" i="4"/>
  <c r="N73" i="4"/>
  <c r="Q73" i="4"/>
  <c r="N74" i="4"/>
  <c r="Q74" i="4"/>
  <c r="N75" i="4"/>
  <c r="Q75" i="4"/>
  <c r="C81" i="4"/>
  <c r="B13" i="8"/>
  <c r="D81" i="4"/>
  <c r="E81" i="4"/>
  <c r="D11" i="8"/>
  <c r="D3" i="25" s="1"/>
  <c r="H13" i="8"/>
  <c r="J11" i="8"/>
  <c r="C88" i="4"/>
  <c r="D88" i="4"/>
  <c r="E88" i="4"/>
  <c r="F7" i="5"/>
  <c r="G7" i="5"/>
  <c r="H7" i="5"/>
  <c r="K7" i="5"/>
  <c r="I25" i="34" s="1"/>
  <c r="L7" i="5"/>
  <c r="J25" i="34" s="1"/>
  <c r="M7" i="5"/>
  <c r="K25" i="34" s="1"/>
  <c r="C89" i="4"/>
  <c r="K5" i="5" s="1"/>
  <c r="R32" i="4"/>
  <c r="R33" i="4"/>
  <c r="R34" i="4"/>
  <c r="R35" i="4"/>
  <c r="R36" i="4"/>
  <c r="R37" i="4"/>
  <c r="R38" i="4"/>
  <c r="R39" i="4"/>
  <c r="R43" i="4"/>
  <c r="R44" i="4"/>
  <c r="R45" i="4"/>
  <c r="R46" i="4"/>
  <c r="R47" i="4"/>
  <c r="R48" i="4"/>
  <c r="R49" i="4"/>
  <c r="R50" i="4"/>
  <c r="AF7" i="7"/>
  <c r="AF9" i="7"/>
  <c r="AF10" i="7"/>
  <c r="AF11" i="7"/>
  <c r="AF13" i="7"/>
  <c r="AF14" i="7"/>
  <c r="AF12" i="7"/>
  <c r="AF8" i="7"/>
  <c r="N13" i="5"/>
  <c r="D55" i="18"/>
  <c r="C17" i="3"/>
  <c r="C18" i="3" s="1"/>
  <c r="D17" i="3"/>
  <c r="D18" i="3" s="1"/>
  <c r="E17" i="3"/>
  <c r="E18" i="3" s="1"/>
  <c r="D42" i="18"/>
  <c r="I13" i="3"/>
  <c r="I14" i="3"/>
  <c r="G13" i="3"/>
  <c r="G14" i="3" s="1"/>
  <c r="E5" i="3"/>
  <c r="H5" i="5" s="1"/>
  <c r="E24" i="34" s="1"/>
  <c r="D5" i="3"/>
  <c r="G5" i="5" s="1"/>
  <c r="D24" i="34" s="1"/>
  <c r="C5" i="3"/>
  <c r="F5" i="5" s="1"/>
  <c r="C24" i="34" s="1"/>
  <c r="K58" i="4"/>
  <c r="K69" i="4"/>
  <c r="M69" i="4" s="1"/>
  <c r="K59" i="4"/>
  <c r="K70" i="4"/>
  <c r="M70" i="4" s="1"/>
  <c r="K60" i="4"/>
  <c r="K71" i="4"/>
  <c r="M71" i="4" s="1"/>
  <c r="K61" i="4"/>
  <c r="K72" i="4"/>
  <c r="K62" i="4"/>
  <c r="K73" i="4"/>
  <c r="M73" i="4" s="1"/>
  <c r="K63" i="4"/>
  <c r="K74" i="4"/>
  <c r="K64" i="4"/>
  <c r="K75" i="4"/>
  <c r="AH29" i="7"/>
  <c r="AG22" i="7"/>
  <c r="AG23" i="7"/>
  <c r="AG24" i="7"/>
  <c r="AG25" i="7"/>
  <c r="AG26" i="7"/>
  <c r="AG27" i="7"/>
  <c r="AG28" i="7"/>
  <c r="AG30" i="7"/>
  <c r="AG21" i="7"/>
  <c r="C68" i="4"/>
  <c r="C57" i="4"/>
  <c r="C69" i="4"/>
  <c r="C58" i="4"/>
  <c r="C70" i="4"/>
  <c r="C59" i="4"/>
  <c r="C71" i="4"/>
  <c r="C60" i="4"/>
  <c r="C72" i="4"/>
  <c r="C61" i="4"/>
  <c r="C73" i="4"/>
  <c r="C62" i="4"/>
  <c r="C74" i="4"/>
  <c r="C63" i="4"/>
  <c r="C75" i="4"/>
  <c r="C64" i="4"/>
  <c r="C76" i="4"/>
  <c r="C65" i="4"/>
  <c r="C31" i="17" s="1"/>
  <c r="C47" i="17" s="1"/>
  <c r="C63" i="17" s="1"/>
  <c r="C13" i="3"/>
  <c r="C14" i="3" s="1"/>
  <c r="D13" i="3"/>
  <c r="D14" i="3"/>
  <c r="E13" i="3"/>
  <c r="E14" i="3"/>
  <c r="G17" i="3"/>
  <c r="G18" i="3" s="1"/>
  <c r="H17" i="3"/>
  <c r="H18" i="3" s="1"/>
  <c r="I17" i="3"/>
  <c r="I18" i="3" s="1"/>
  <c r="H13" i="3"/>
  <c r="H14" i="3" s="1"/>
  <c r="M5" i="5"/>
  <c r="D89" i="4"/>
  <c r="L5" i="5" s="1"/>
  <c r="P16" i="4"/>
  <c r="F31" i="33" s="1"/>
  <c r="Q18" i="4"/>
  <c r="E89" i="4"/>
  <c r="U68" i="4"/>
  <c r="S76" i="26"/>
  <c r="T76" i="26"/>
  <c r="U76" i="26"/>
  <c r="V76" i="26"/>
  <c r="A75" i="26"/>
  <c r="H26" i="26"/>
  <c r="H27" i="26"/>
  <c r="H28" i="26"/>
  <c r="H29" i="26"/>
  <c r="H30" i="26"/>
  <c r="H31" i="26"/>
  <c r="H32" i="26"/>
  <c r="H25" i="26"/>
  <c r="D26" i="26"/>
  <c r="G26" i="26"/>
  <c r="D27" i="26"/>
  <c r="G27" i="26"/>
  <c r="D28" i="26"/>
  <c r="G28" i="26"/>
  <c r="D29" i="26"/>
  <c r="G29" i="26"/>
  <c r="D30" i="26"/>
  <c r="D32" i="26"/>
  <c r="G32" i="26"/>
  <c r="D25" i="26"/>
  <c r="G25" i="26"/>
  <c r="U57" i="4"/>
  <c r="K33" i="19"/>
  <c r="L33" i="19"/>
  <c r="M33" i="19"/>
  <c r="N33" i="19"/>
  <c r="O33" i="19"/>
  <c r="P33" i="19"/>
  <c r="K34" i="19"/>
  <c r="L34" i="19"/>
  <c r="M34" i="19"/>
  <c r="N34" i="19"/>
  <c r="O34" i="19"/>
  <c r="P34" i="19"/>
  <c r="K35" i="19"/>
  <c r="L35" i="19"/>
  <c r="M35" i="19"/>
  <c r="N35" i="19"/>
  <c r="O35" i="19"/>
  <c r="P35" i="19"/>
  <c r="K36" i="19"/>
  <c r="L36" i="19"/>
  <c r="M36" i="19"/>
  <c r="N36" i="19"/>
  <c r="O36" i="19"/>
  <c r="P36" i="19"/>
  <c r="K37" i="19"/>
  <c r="L37" i="19"/>
  <c r="M37" i="19"/>
  <c r="N37" i="19"/>
  <c r="O37" i="19"/>
  <c r="P37" i="19"/>
  <c r="K38" i="19"/>
  <c r="L38" i="19"/>
  <c r="M38" i="19"/>
  <c r="N38" i="19"/>
  <c r="O38" i="19"/>
  <c r="P38" i="19"/>
  <c r="K27" i="19"/>
  <c r="L27" i="19"/>
  <c r="M27" i="19"/>
  <c r="N27" i="19"/>
  <c r="O27" i="19"/>
  <c r="P27" i="19"/>
  <c r="K28" i="19"/>
  <c r="L28" i="19"/>
  <c r="M28" i="19"/>
  <c r="N28" i="19"/>
  <c r="O28" i="19"/>
  <c r="P28" i="19"/>
  <c r="K29" i="19"/>
  <c r="L29" i="19"/>
  <c r="M29" i="19"/>
  <c r="N29" i="19"/>
  <c r="O29" i="19"/>
  <c r="P29" i="19"/>
  <c r="K30" i="19"/>
  <c r="L30" i="19"/>
  <c r="M30" i="19"/>
  <c r="N30" i="19"/>
  <c r="O30" i="19"/>
  <c r="P30" i="19"/>
  <c r="K31" i="19"/>
  <c r="L31" i="19"/>
  <c r="M31" i="19"/>
  <c r="N31" i="19"/>
  <c r="O31" i="19"/>
  <c r="P31" i="19"/>
  <c r="K32" i="19"/>
  <c r="L32" i="19"/>
  <c r="M32" i="19"/>
  <c r="N32" i="19"/>
  <c r="O32" i="19"/>
  <c r="P32" i="19"/>
  <c r="K21" i="19"/>
  <c r="L21" i="19"/>
  <c r="M21" i="19"/>
  <c r="N21" i="19"/>
  <c r="O21" i="19"/>
  <c r="P21" i="19"/>
  <c r="K22" i="19"/>
  <c r="L22" i="19"/>
  <c r="M22" i="19"/>
  <c r="N22" i="19"/>
  <c r="O22" i="19"/>
  <c r="P22" i="19"/>
  <c r="K23" i="19"/>
  <c r="L23" i="19"/>
  <c r="M23" i="19"/>
  <c r="N23" i="19"/>
  <c r="O23" i="19"/>
  <c r="P23" i="19"/>
  <c r="K24" i="19"/>
  <c r="L24" i="19"/>
  <c r="M24" i="19"/>
  <c r="N24" i="19"/>
  <c r="O24" i="19"/>
  <c r="P24" i="19"/>
  <c r="K25" i="19"/>
  <c r="L25" i="19"/>
  <c r="M25" i="19"/>
  <c r="N25" i="19"/>
  <c r="O25" i="19"/>
  <c r="P25" i="19"/>
  <c r="K26" i="19"/>
  <c r="L26" i="19"/>
  <c r="M26" i="19"/>
  <c r="N26" i="19"/>
  <c r="O26" i="19"/>
  <c r="P26" i="19"/>
  <c r="K15" i="19"/>
  <c r="L15" i="19"/>
  <c r="M15" i="19"/>
  <c r="N15" i="19"/>
  <c r="O15" i="19"/>
  <c r="P15" i="19"/>
  <c r="K16" i="19"/>
  <c r="L16" i="19"/>
  <c r="M16" i="19"/>
  <c r="N16" i="19"/>
  <c r="O16" i="19"/>
  <c r="P16" i="19"/>
  <c r="K17" i="19"/>
  <c r="L17" i="19"/>
  <c r="M17" i="19"/>
  <c r="N17" i="19"/>
  <c r="O17" i="19"/>
  <c r="P17" i="19"/>
  <c r="K18" i="19"/>
  <c r="L18" i="19"/>
  <c r="M18" i="19"/>
  <c r="N18" i="19"/>
  <c r="O18" i="19"/>
  <c r="P18" i="19"/>
  <c r="K19" i="19"/>
  <c r="L19" i="19"/>
  <c r="M19" i="19"/>
  <c r="N19" i="19"/>
  <c r="O19" i="19"/>
  <c r="P19" i="19"/>
  <c r="K20" i="19"/>
  <c r="L20" i="19"/>
  <c r="M20" i="19"/>
  <c r="N20" i="19"/>
  <c r="O20" i="19"/>
  <c r="P20" i="19"/>
  <c r="K9" i="19"/>
  <c r="L9" i="19"/>
  <c r="M9" i="19"/>
  <c r="N9" i="19"/>
  <c r="O9" i="19"/>
  <c r="P9" i="19"/>
  <c r="K10" i="19"/>
  <c r="L10" i="19"/>
  <c r="M10" i="19"/>
  <c r="N10" i="19"/>
  <c r="O10" i="19"/>
  <c r="P10" i="19"/>
  <c r="K11" i="19"/>
  <c r="L11" i="19"/>
  <c r="M11" i="19"/>
  <c r="N11" i="19"/>
  <c r="O11" i="19"/>
  <c r="P11" i="19"/>
  <c r="K12" i="19"/>
  <c r="L12" i="19"/>
  <c r="M12" i="19"/>
  <c r="N12" i="19"/>
  <c r="O12" i="19"/>
  <c r="P12" i="19"/>
  <c r="K13" i="19"/>
  <c r="L13" i="19"/>
  <c r="M13" i="19"/>
  <c r="N13" i="19"/>
  <c r="O13" i="19"/>
  <c r="P13" i="19"/>
  <c r="K14" i="19"/>
  <c r="L14" i="19"/>
  <c r="M14" i="19"/>
  <c r="N14" i="19"/>
  <c r="O14" i="19"/>
  <c r="P14" i="19"/>
  <c r="K3" i="19"/>
  <c r="L3" i="19"/>
  <c r="M3" i="19"/>
  <c r="N3" i="19"/>
  <c r="O3" i="19"/>
  <c r="P3" i="19"/>
  <c r="K4" i="19"/>
  <c r="L4" i="19"/>
  <c r="M4" i="19"/>
  <c r="N4" i="19"/>
  <c r="O4" i="19"/>
  <c r="P4" i="19"/>
  <c r="K5" i="19"/>
  <c r="L5" i="19"/>
  <c r="M5" i="19"/>
  <c r="N5" i="19"/>
  <c r="O5" i="19"/>
  <c r="P5" i="19"/>
  <c r="K6" i="19"/>
  <c r="L6" i="19"/>
  <c r="M6" i="19"/>
  <c r="N6" i="19"/>
  <c r="O6" i="19"/>
  <c r="P6" i="19"/>
  <c r="K7" i="19"/>
  <c r="L7" i="19"/>
  <c r="M7" i="19"/>
  <c r="N7" i="19"/>
  <c r="O7" i="19"/>
  <c r="P7" i="19"/>
  <c r="K8" i="19"/>
  <c r="L8" i="19"/>
  <c r="M8" i="19"/>
  <c r="N8" i="19"/>
  <c r="O8" i="19"/>
  <c r="P8" i="19"/>
  <c r="F3" i="19"/>
  <c r="G3" i="19"/>
  <c r="H3" i="19"/>
  <c r="I3" i="19"/>
  <c r="F4" i="19"/>
  <c r="G4" i="19"/>
  <c r="H4" i="19"/>
  <c r="I4" i="19"/>
  <c r="F5" i="19"/>
  <c r="G5" i="19"/>
  <c r="H5" i="19"/>
  <c r="I5" i="19"/>
  <c r="F6" i="19"/>
  <c r="G6" i="19"/>
  <c r="H6" i="19"/>
  <c r="I6" i="19"/>
  <c r="F7" i="19"/>
  <c r="G7" i="19"/>
  <c r="H7" i="19"/>
  <c r="I7" i="19"/>
  <c r="F8" i="19"/>
  <c r="G8" i="19"/>
  <c r="H8" i="19"/>
  <c r="I8" i="19"/>
  <c r="F62" i="9"/>
  <c r="F40" i="19"/>
  <c r="G62" i="9"/>
  <c r="G40" i="19"/>
  <c r="H62" i="9"/>
  <c r="H40" i="19"/>
  <c r="I62" i="9"/>
  <c r="I40" i="19"/>
  <c r="F63" i="9"/>
  <c r="F41" i="19"/>
  <c r="G63" i="9"/>
  <c r="G41" i="19"/>
  <c r="H63" i="9"/>
  <c r="H41" i="19"/>
  <c r="I63" i="9"/>
  <c r="F64" i="9"/>
  <c r="G64" i="9"/>
  <c r="G42" i="19"/>
  <c r="H64" i="9"/>
  <c r="I64" i="9"/>
  <c r="F65" i="9"/>
  <c r="G65" i="9"/>
  <c r="G43" i="19"/>
  <c r="H65" i="9"/>
  <c r="H43" i="19"/>
  <c r="I65" i="9"/>
  <c r="I43" i="19"/>
  <c r="I71" i="9"/>
  <c r="I49" i="19"/>
  <c r="F66" i="9"/>
  <c r="F44" i="19"/>
  <c r="G66" i="9"/>
  <c r="G72" i="9"/>
  <c r="G50" i="19"/>
  <c r="H66" i="9"/>
  <c r="H44" i="19"/>
  <c r="I66" i="9"/>
  <c r="G61" i="9"/>
  <c r="H61" i="9"/>
  <c r="H39" i="19"/>
  <c r="I61" i="9"/>
  <c r="F61" i="9"/>
  <c r="C46" i="19"/>
  <c r="C50" i="19"/>
  <c r="C43" i="19"/>
  <c r="C36" i="19"/>
  <c r="C19" i="19"/>
  <c r="C49" i="20"/>
  <c r="C50" i="20" s="1"/>
  <c r="C51" i="20" s="1"/>
  <c r="C52" i="20" s="1"/>
  <c r="C53" i="20" s="1"/>
  <c r="C54" i="20" s="1"/>
  <c r="L68" i="9"/>
  <c r="L46" i="19"/>
  <c r="M68" i="9"/>
  <c r="M46" i="19"/>
  <c r="N68" i="9"/>
  <c r="N46" i="19"/>
  <c r="O68" i="9"/>
  <c r="O46" i="19"/>
  <c r="P68" i="9"/>
  <c r="P46" i="19"/>
  <c r="L69" i="9"/>
  <c r="L47" i="19"/>
  <c r="M69" i="9"/>
  <c r="M47" i="19"/>
  <c r="N69" i="9"/>
  <c r="N47" i="19"/>
  <c r="O69" i="9"/>
  <c r="O47" i="19"/>
  <c r="P69" i="9"/>
  <c r="P47" i="19"/>
  <c r="L70" i="9"/>
  <c r="L48" i="19"/>
  <c r="M70" i="9"/>
  <c r="M48" i="19"/>
  <c r="N70" i="9"/>
  <c r="N48" i="19"/>
  <c r="O70" i="9"/>
  <c r="O48" i="19"/>
  <c r="P70" i="9"/>
  <c r="P48" i="19"/>
  <c r="L71" i="9"/>
  <c r="L49" i="19"/>
  <c r="M71" i="9"/>
  <c r="M49" i="19"/>
  <c r="N71" i="9"/>
  <c r="N49" i="19"/>
  <c r="O71" i="9"/>
  <c r="O49" i="19"/>
  <c r="P71" i="9"/>
  <c r="P49" i="19"/>
  <c r="L72" i="9"/>
  <c r="L50" i="19"/>
  <c r="M72" i="9"/>
  <c r="M50" i="19"/>
  <c r="N72" i="9"/>
  <c r="N50" i="19"/>
  <c r="O72" i="9"/>
  <c r="O50" i="19"/>
  <c r="P72" i="9"/>
  <c r="P50" i="19"/>
  <c r="P67" i="9"/>
  <c r="P45" i="19"/>
  <c r="O67" i="9"/>
  <c r="O45" i="19"/>
  <c r="N67" i="9"/>
  <c r="N45" i="19"/>
  <c r="M67" i="9"/>
  <c r="M45" i="19"/>
  <c r="L67" i="9"/>
  <c r="L45" i="19"/>
  <c r="K68" i="9"/>
  <c r="K46" i="19"/>
  <c r="K69" i="9"/>
  <c r="K47" i="19"/>
  <c r="K70" i="9"/>
  <c r="K48" i="19"/>
  <c r="K71" i="9"/>
  <c r="K49" i="19"/>
  <c r="K72" i="9"/>
  <c r="K50" i="19"/>
  <c r="K67" i="9"/>
  <c r="K45" i="19"/>
  <c r="L62" i="9"/>
  <c r="L40" i="19"/>
  <c r="M62" i="9"/>
  <c r="M40" i="19"/>
  <c r="N62" i="9"/>
  <c r="N40" i="19"/>
  <c r="O62" i="9"/>
  <c r="O40" i="19"/>
  <c r="P62" i="9"/>
  <c r="P40" i="19"/>
  <c r="L63" i="9"/>
  <c r="L41" i="19"/>
  <c r="M63" i="9"/>
  <c r="M41" i="19"/>
  <c r="N63" i="9"/>
  <c r="N41" i="19"/>
  <c r="O63" i="9"/>
  <c r="O41" i="19"/>
  <c r="P63" i="9"/>
  <c r="P41" i="19"/>
  <c r="L64" i="9"/>
  <c r="L42" i="19"/>
  <c r="M64" i="9"/>
  <c r="M42" i="19"/>
  <c r="N64" i="9"/>
  <c r="N42" i="19"/>
  <c r="O64" i="9"/>
  <c r="O42" i="19"/>
  <c r="P64" i="9"/>
  <c r="P42" i="19"/>
  <c r="L65" i="9"/>
  <c r="L43" i="19"/>
  <c r="M65" i="9"/>
  <c r="M43" i="19"/>
  <c r="N65" i="9"/>
  <c r="N43" i="19"/>
  <c r="O65" i="9"/>
  <c r="O43" i="19"/>
  <c r="P65" i="9"/>
  <c r="P43" i="19"/>
  <c r="L66" i="9"/>
  <c r="L44" i="19"/>
  <c r="M66" i="9"/>
  <c r="M44" i="19"/>
  <c r="N66" i="9"/>
  <c r="N44" i="19"/>
  <c r="O66" i="9"/>
  <c r="O44" i="19"/>
  <c r="P66" i="9"/>
  <c r="P44" i="19"/>
  <c r="P61" i="9"/>
  <c r="P39" i="19"/>
  <c r="O61" i="9"/>
  <c r="O39" i="19"/>
  <c r="N61" i="9"/>
  <c r="N39" i="19"/>
  <c r="M61" i="9"/>
  <c r="M39" i="19"/>
  <c r="L61" i="9"/>
  <c r="L39" i="19"/>
  <c r="K62" i="9"/>
  <c r="K40" i="19"/>
  <c r="K63" i="9"/>
  <c r="K41" i="19"/>
  <c r="K64" i="9"/>
  <c r="K42" i="19"/>
  <c r="K65" i="9"/>
  <c r="K43" i="19"/>
  <c r="K66" i="9"/>
  <c r="K44" i="19"/>
  <c r="K61" i="9"/>
  <c r="K39" i="19"/>
  <c r="M16" i="4"/>
  <c r="S16" i="4"/>
  <c r="R17" i="4" s="1"/>
  <c r="D7" i="23"/>
  <c r="A15" i="23" s="1"/>
  <c r="N17" i="4"/>
  <c r="K17" i="4"/>
  <c r="M15" i="4"/>
  <c r="N15" i="4"/>
  <c r="Q17" i="4"/>
  <c r="Q15" i="4"/>
  <c r="F12" i="4"/>
  <c r="D89" i="21"/>
  <c r="D90" i="21"/>
  <c r="D91" i="21"/>
  <c r="D92" i="21"/>
  <c r="D93" i="21"/>
  <c r="D94" i="21"/>
  <c r="D95" i="21"/>
  <c r="D96" i="21"/>
  <c r="D71" i="21"/>
  <c r="D72" i="21"/>
  <c r="D73" i="21"/>
  <c r="D74" i="21"/>
  <c r="D75" i="21"/>
  <c r="D76" i="21"/>
  <c r="D77" i="21"/>
  <c r="D78" i="21"/>
  <c r="D70" i="21"/>
  <c r="D88" i="21"/>
  <c r="D80" i="21"/>
  <c r="D81" i="21"/>
  <c r="D82" i="21"/>
  <c r="D83" i="21"/>
  <c r="D84" i="21"/>
  <c r="D85" i="21"/>
  <c r="D86" i="21"/>
  <c r="D87" i="21"/>
  <c r="D79" i="21"/>
  <c r="D62" i="21"/>
  <c r="D63" i="21"/>
  <c r="D64" i="21"/>
  <c r="D65" i="21"/>
  <c r="D66" i="21"/>
  <c r="D67" i="21"/>
  <c r="D68" i="21"/>
  <c r="D69" i="21"/>
  <c r="D61" i="21"/>
  <c r="D53" i="21"/>
  <c r="D54" i="21"/>
  <c r="D55" i="21"/>
  <c r="D56" i="21"/>
  <c r="D57" i="21"/>
  <c r="D58" i="21"/>
  <c r="D59" i="21"/>
  <c r="D60" i="21"/>
  <c r="D52" i="21"/>
  <c r="D44" i="21"/>
  <c r="D45" i="21"/>
  <c r="D46" i="21"/>
  <c r="D47" i="21"/>
  <c r="D48" i="21"/>
  <c r="D49" i="21"/>
  <c r="D50" i="21"/>
  <c r="D51" i="21"/>
  <c r="D43" i="21"/>
  <c r="D35" i="21"/>
  <c r="D36" i="21"/>
  <c r="D37" i="21"/>
  <c r="D38" i="21"/>
  <c r="D39" i="21"/>
  <c r="D40" i="21"/>
  <c r="D41" i="21"/>
  <c r="D42" i="21"/>
  <c r="D34" i="21"/>
  <c r="C34" i="21"/>
  <c r="C35" i="21" s="1"/>
  <c r="C36" i="21" s="1"/>
  <c r="C37" i="21" s="1"/>
  <c r="C38" i="21" s="1"/>
  <c r="C39" i="21" s="1"/>
  <c r="C40" i="21" s="1"/>
  <c r="C41" i="21" s="1"/>
  <c r="C42" i="21" s="1"/>
  <c r="C43" i="21"/>
  <c r="C44" i="21" s="1"/>
  <c r="C45" i="21" s="1"/>
  <c r="C46" i="21" s="1"/>
  <c r="C47" i="21" s="1"/>
  <c r="C48" i="21" s="1"/>
  <c r="C49" i="21" s="1"/>
  <c r="C50" i="21" s="1"/>
  <c r="C51" i="21" s="1"/>
  <c r="C52" i="21"/>
  <c r="C53" i="21" s="1"/>
  <c r="C54" i="21" s="1"/>
  <c r="C55" i="21" s="1"/>
  <c r="C56" i="21" s="1"/>
  <c r="C57" i="21" s="1"/>
  <c r="C58" i="21" s="1"/>
  <c r="C59" i="21" s="1"/>
  <c r="C60" i="21" s="1"/>
  <c r="C88" i="21"/>
  <c r="C89" i="21" s="1"/>
  <c r="C90" i="21" s="1"/>
  <c r="C91" i="21" s="1"/>
  <c r="C92" i="21" s="1"/>
  <c r="C93" i="21" s="1"/>
  <c r="C94" i="21" s="1"/>
  <c r="C95" i="21" s="1"/>
  <c r="C96" i="21" s="1"/>
  <c r="C79" i="21"/>
  <c r="C80" i="21" s="1"/>
  <c r="C81" i="21" s="1"/>
  <c r="C82" i="21" s="1"/>
  <c r="C83" i="21" s="1"/>
  <c r="C84" i="21" s="1"/>
  <c r="C85" i="21" s="1"/>
  <c r="C86" i="21" s="1"/>
  <c r="C87" i="21" s="1"/>
  <c r="C70" i="21"/>
  <c r="C71" i="21" s="1"/>
  <c r="C72" i="21" s="1"/>
  <c r="C73" i="21" s="1"/>
  <c r="C74" i="21" s="1"/>
  <c r="C75" i="21" s="1"/>
  <c r="C76" i="21" s="1"/>
  <c r="C77" i="21" s="1"/>
  <c r="C78" i="21" s="1"/>
  <c r="C61" i="21"/>
  <c r="C62" i="21" s="1"/>
  <c r="C63" i="21" s="1"/>
  <c r="C64" i="21" s="1"/>
  <c r="C65" i="21" s="1"/>
  <c r="C66" i="21" s="1"/>
  <c r="C67" i="21" s="1"/>
  <c r="C68" i="21" s="1"/>
  <c r="C69" i="21" s="1"/>
  <c r="C25" i="21"/>
  <c r="C26" i="21" s="1"/>
  <c r="C27" i="21" s="1"/>
  <c r="C28" i="21" s="1"/>
  <c r="C29" i="21" s="1"/>
  <c r="C30" i="21" s="1"/>
  <c r="C31" i="21" s="1"/>
  <c r="C32" i="21" s="1"/>
  <c r="C33" i="21" s="1"/>
  <c r="B103" i="21"/>
  <c r="D101" i="21"/>
  <c r="B73" i="20"/>
  <c r="E19" i="20" s="1"/>
  <c r="J55" i="20"/>
  <c r="J61" i="20"/>
  <c r="K55" i="20"/>
  <c r="J56" i="20"/>
  <c r="J62" i="20"/>
  <c r="K56" i="20"/>
  <c r="K62" i="20"/>
  <c r="J57" i="20"/>
  <c r="J63" i="20"/>
  <c r="K57" i="20"/>
  <c r="K63" i="20"/>
  <c r="J58" i="20"/>
  <c r="K58" i="20"/>
  <c r="K64" i="20"/>
  <c r="J59" i="20"/>
  <c r="J65" i="20"/>
  <c r="K59" i="20"/>
  <c r="J60" i="20"/>
  <c r="J66" i="20"/>
  <c r="K60" i="20"/>
  <c r="K61" i="20"/>
  <c r="J64" i="20"/>
  <c r="K65" i="20"/>
  <c r="K66" i="20"/>
  <c r="F56" i="20"/>
  <c r="F62" i="20"/>
  <c r="G56" i="20"/>
  <c r="G62" i="20"/>
  <c r="H56" i="20"/>
  <c r="H62" i="20"/>
  <c r="I56" i="20"/>
  <c r="I62" i="20"/>
  <c r="F57" i="20"/>
  <c r="F63" i="20"/>
  <c r="G57" i="20"/>
  <c r="H57" i="20"/>
  <c r="I57" i="20"/>
  <c r="I63" i="20"/>
  <c r="F58" i="20"/>
  <c r="F64" i="20"/>
  <c r="G58" i="20"/>
  <c r="H58" i="20"/>
  <c r="H64" i="20"/>
  <c r="I58" i="20"/>
  <c r="I64" i="20"/>
  <c r="F59" i="20"/>
  <c r="F65" i="20"/>
  <c r="G59" i="20"/>
  <c r="G65" i="20"/>
  <c r="H59" i="20"/>
  <c r="H65" i="20"/>
  <c r="I59" i="20"/>
  <c r="I65" i="20"/>
  <c r="F60" i="20"/>
  <c r="F66" i="20"/>
  <c r="G60" i="20"/>
  <c r="H60" i="20"/>
  <c r="H66" i="20"/>
  <c r="I60" i="20"/>
  <c r="I66" i="20"/>
  <c r="G55" i="20"/>
  <c r="G61" i="20"/>
  <c r="H55" i="20"/>
  <c r="H61" i="20"/>
  <c r="I55" i="20"/>
  <c r="I61" i="20"/>
  <c r="F55" i="20"/>
  <c r="F61" i="20"/>
  <c r="D71" i="20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G10" i="17"/>
  <c r="G14" i="17"/>
  <c r="C35" i="17"/>
  <c r="C51" i="17" s="1"/>
  <c r="C67" i="17" s="1"/>
  <c r="E16" i="4"/>
  <c r="D43" i="17" s="1"/>
  <c r="F16" i="4"/>
  <c r="G16" i="4"/>
  <c r="F43" i="17" s="1"/>
  <c r="D20" i="17"/>
  <c r="E20" i="17"/>
  <c r="F20" i="17"/>
  <c r="D18" i="17"/>
  <c r="E18" i="17"/>
  <c r="F18" i="17"/>
  <c r="C8" i="17"/>
  <c r="G16" i="17"/>
  <c r="C19" i="13"/>
  <c r="C21" i="13" s="1"/>
  <c r="D23" i="13" s="1"/>
  <c r="D22" i="13" s="1"/>
  <c r="D76" i="13"/>
  <c r="E76" i="13"/>
  <c r="F76" i="13"/>
  <c r="G76" i="13"/>
  <c r="H76" i="13"/>
  <c r="I76" i="13"/>
  <c r="J76" i="13"/>
  <c r="K76" i="13"/>
  <c r="L76" i="13"/>
  <c r="M76" i="13"/>
  <c r="C69" i="13"/>
  <c r="C6" i="16"/>
  <c r="C7" i="16"/>
  <c r="C55" i="13"/>
  <c r="D20" i="13"/>
  <c r="D45" i="13"/>
  <c r="C26" i="13"/>
  <c r="B4" i="15"/>
  <c r="E4" i="15"/>
  <c r="D15" i="15"/>
  <c r="D16" i="15"/>
  <c r="E6" i="15"/>
  <c r="D98" i="15"/>
  <c r="F98" i="15"/>
  <c r="H5" i="15"/>
  <c r="C12" i="13"/>
  <c r="D12" i="13" s="1"/>
  <c r="E12" i="13" s="1"/>
  <c r="F12" i="13" s="1"/>
  <c r="G12" i="13" s="1"/>
  <c r="H12" i="13" s="1"/>
  <c r="I12" i="13" s="1"/>
  <c r="J12" i="13" s="1"/>
  <c r="B12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B4" i="14"/>
  <c r="E4" i="14"/>
  <c r="D15" i="14"/>
  <c r="D16" i="14"/>
  <c r="E6" i="14"/>
  <c r="D74" i="14"/>
  <c r="F74" i="14"/>
  <c r="H5" i="14"/>
  <c r="C10" i="13"/>
  <c r="D10" i="13" s="1"/>
  <c r="E10" i="13" s="1"/>
  <c r="F10" i="13" s="1"/>
  <c r="G10" i="13" s="1"/>
  <c r="H10" i="13" s="1"/>
  <c r="M45" i="13"/>
  <c r="I46" i="13"/>
  <c r="J46" i="13"/>
  <c r="K46" i="13"/>
  <c r="L46" i="13"/>
  <c r="M46" i="13"/>
  <c r="I47" i="13"/>
  <c r="J47" i="13"/>
  <c r="K47" i="13"/>
  <c r="L47" i="13"/>
  <c r="M47" i="13"/>
  <c r="E20" i="13"/>
  <c r="E45" i="13"/>
  <c r="F20" i="13"/>
  <c r="F45" i="13"/>
  <c r="G20" i="13"/>
  <c r="G45" i="13"/>
  <c r="H20" i="13"/>
  <c r="H45" i="13"/>
  <c r="I20" i="13"/>
  <c r="I45" i="13"/>
  <c r="J20" i="13"/>
  <c r="J45" i="13"/>
  <c r="K45" i="13"/>
  <c r="L45" i="13"/>
  <c r="I21" i="13"/>
  <c r="J21" i="13"/>
  <c r="H21" i="13"/>
  <c r="G21" i="13"/>
  <c r="F21" i="13"/>
  <c r="E21" i="13"/>
  <c r="D21" i="13"/>
  <c r="D15" i="13"/>
  <c r="E15" i="13"/>
  <c r="F15" i="13"/>
  <c r="G15" i="13"/>
  <c r="H15" i="13"/>
  <c r="I15" i="13"/>
  <c r="J15" i="13"/>
  <c r="K15" i="13"/>
  <c r="L15" i="13"/>
  <c r="M15" i="13"/>
  <c r="B12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K3" i="5"/>
  <c r="AG16" i="7"/>
  <c r="D68" i="9"/>
  <c r="D69" i="9"/>
  <c r="D70" i="9"/>
  <c r="D71" i="9"/>
  <c r="D72" i="9"/>
  <c r="D67" i="9"/>
  <c r="D62" i="9"/>
  <c r="D63" i="9"/>
  <c r="D64" i="9"/>
  <c r="D65" i="9"/>
  <c r="D66" i="9"/>
  <c r="D61" i="9"/>
  <c r="D56" i="9"/>
  <c r="D57" i="9"/>
  <c r="D58" i="9"/>
  <c r="D59" i="9"/>
  <c r="D60" i="9"/>
  <c r="D55" i="9"/>
  <c r="D50" i="9"/>
  <c r="D51" i="9"/>
  <c r="D52" i="9"/>
  <c r="D53" i="9"/>
  <c r="D54" i="9"/>
  <c r="D49" i="9"/>
  <c r="D44" i="9"/>
  <c r="D45" i="9"/>
  <c r="D46" i="9"/>
  <c r="D47" i="9"/>
  <c r="D48" i="9"/>
  <c r="D43" i="9"/>
  <c r="D38" i="9"/>
  <c r="D39" i="9"/>
  <c r="D40" i="9"/>
  <c r="D41" i="9"/>
  <c r="D42" i="9"/>
  <c r="D37" i="9"/>
  <c r="D36" i="9"/>
  <c r="D35" i="9"/>
  <c r="D34" i="9"/>
  <c r="D33" i="9"/>
  <c r="D32" i="9"/>
  <c r="D31" i="9"/>
  <c r="C67" i="9"/>
  <c r="C69" i="9" s="1"/>
  <c r="C61" i="9"/>
  <c r="C65" i="9" s="1"/>
  <c r="G12" i="4"/>
  <c r="P75" i="8"/>
  <c r="P76" i="8"/>
  <c r="P74" i="8"/>
  <c r="P68" i="8"/>
  <c r="P69" i="8"/>
  <c r="P67" i="8"/>
  <c r="E75" i="8"/>
  <c r="E76" i="8"/>
  <c r="E74" i="8"/>
  <c r="E68" i="8"/>
  <c r="E69" i="8"/>
  <c r="N68" i="8"/>
  <c r="N75" i="8"/>
  <c r="G68" i="8"/>
  <c r="G75" i="8"/>
  <c r="N67" i="8"/>
  <c r="G67" i="8"/>
  <c r="N74" i="8"/>
  <c r="G74" i="8"/>
  <c r="C60" i="8"/>
  <c r="K67" i="8"/>
  <c r="K74" i="8"/>
  <c r="E12" i="4"/>
  <c r="F76" i="8"/>
  <c r="G76" i="8"/>
  <c r="K76" i="8"/>
  <c r="N76" i="8"/>
  <c r="F69" i="8"/>
  <c r="G69" i="8"/>
  <c r="K69" i="8"/>
  <c r="N69" i="8"/>
  <c r="F75" i="8"/>
  <c r="K75" i="8"/>
  <c r="F68" i="8"/>
  <c r="K68" i="8"/>
  <c r="F74" i="8"/>
  <c r="F67" i="8"/>
  <c r="H76" i="8"/>
  <c r="H69" i="8"/>
  <c r="H75" i="8"/>
  <c r="H68" i="8"/>
  <c r="H67" i="8"/>
  <c r="H74" i="8"/>
  <c r="M67" i="8"/>
  <c r="M74" i="8"/>
  <c r="L69" i="8"/>
  <c r="M69" i="8"/>
  <c r="O69" i="8"/>
  <c r="L76" i="8"/>
  <c r="M76" i="8"/>
  <c r="O76" i="8"/>
  <c r="L68" i="8"/>
  <c r="M68" i="8"/>
  <c r="O68" i="8"/>
  <c r="L75" i="8"/>
  <c r="M75" i="8"/>
  <c r="O75" i="8"/>
  <c r="L74" i="8"/>
  <c r="O74" i="8"/>
  <c r="L67" i="8"/>
  <c r="O67" i="8"/>
  <c r="F3" i="5"/>
  <c r="J3" i="5"/>
  <c r="J5" i="5"/>
  <c r="F5" i="25"/>
  <c r="B19" i="25" s="1"/>
  <c r="E52" i="21"/>
  <c r="L17" i="9"/>
  <c r="E20" i="20"/>
  <c r="J27" i="9"/>
  <c r="E51" i="20"/>
  <c r="J28" i="9"/>
  <c r="R9" i="19"/>
  <c r="C55" i="19" s="1"/>
  <c r="G64" i="20"/>
  <c r="G63" i="20"/>
  <c r="F72" i="9"/>
  <c r="F50" i="19"/>
  <c r="F69" i="9"/>
  <c r="F47" i="19"/>
  <c r="B5" i="25"/>
  <c r="E23" i="13"/>
  <c r="R27" i="19"/>
  <c r="C58" i="19" s="1"/>
  <c r="D47" i="13"/>
  <c r="E47" i="13" s="1"/>
  <c r="F47" i="13" s="1"/>
  <c r="G47" i="13" s="1"/>
  <c r="H47" i="13" s="1"/>
  <c r="F71" i="9"/>
  <c r="F68" i="9"/>
  <c r="F46" i="19"/>
  <c r="E82" i="21"/>
  <c r="E55" i="21"/>
  <c r="E43" i="21"/>
  <c r="H72" i="9"/>
  <c r="H50" i="19"/>
  <c r="H69" i="9"/>
  <c r="H47" i="19"/>
  <c r="H68" i="9"/>
  <c r="H46" i="19"/>
  <c r="H3" i="25"/>
  <c r="C13" i="23"/>
  <c r="R3" i="19"/>
  <c r="C54" i="19" s="1"/>
  <c r="R21" i="19"/>
  <c r="C57" i="19" s="1"/>
  <c r="AI26" i="7"/>
  <c r="C35" i="19"/>
  <c r="C13" i="19"/>
  <c r="C9" i="19"/>
  <c r="E56" i="20"/>
  <c r="Q3" i="19"/>
  <c r="B54" i="19" s="1"/>
  <c r="G68" i="9"/>
  <c r="G46" i="19"/>
  <c r="C38" i="26"/>
  <c r="G71" i="9"/>
  <c r="G49" i="19"/>
  <c r="G69" i="9"/>
  <c r="G47" i="19"/>
  <c r="B74" i="20"/>
  <c r="B75" i="20" s="1"/>
  <c r="B76" i="20" s="1"/>
  <c r="B77" i="20" s="1"/>
  <c r="B78" i="20" s="1"/>
  <c r="B79" i="20" s="1"/>
  <c r="B80" i="20" s="1"/>
  <c r="E46" i="20"/>
  <c r="G70" i="9"/>
  <c r="G48" i="19"/>
  <c r="F49" i="19"/>
  <c r="D17" i="14"/>
  <c r="H63" i="20"/>
  <c r="I44" i="19"/>
  <c r="I72" i="9"/>
  <c r="I50" i="19"/>
  <c r="G44" i="19"/>
  <c r="F43" i="19"/>
  <c r="H71" i="9"/>
  <c r="H49" i="19"/>
  <c r="H67" i="9"/>
  <c r="H45" i="19"/>
  <c r="E74" i="21"/>
  <c r="E53" i="21"/>
  <c r="E26" i="21"/>
  <c r="G30" i="26"/>
  <c r="D31" i="26"/>
  <c r="G31" i="26"/>
  <c r="AH27" i="7"/>
  <c r="C40" i="19"/>
  <c r="C42" i="19"/>
  <c r="C44" i="19"/>
  <c r="C41" i="19"/>
  <c r="C39" i="19"/>
  <c r="C55" i="20"/>
  <c r="C56" i="20" s="1"/>
  <c r="C57" i="20" s="1"/>
  <c r="C58" i="20" s="1"/>
  <c r="C59" i="20" s="1"/>
  <c r="C60" i="20" s="1"/>
  <c r="C67" i="8"/>
  <c r="S32" i="4"/>
  <c r="I42" i="19"/>
  <c r="I70" i="9"/>
  <c r="I48" i="19"/>
  <c r="I41" i="19"/>
  <c r="I69" i="9"/>
  <c r="I47" i="19"/>
  <c r="I68" i="9"/>
  <c r="I46" i="19"/>
  <c r="F10" i="26"/>
  <c r="I14" i="26" s="1"/>
  <c r="G10" i="26"/>
  <c r="J14" i="26" s="1"/>
  <c r="A71" i="26"/>
  <c r="J29" i="9"/>
  <c r="F15" i="26"/>
  <c r="D18" i="14"/>
  <c r="D19" i="14"/>
  <c r="D20" i="14"/>
  <c r="M63" i="4"/>
  <c r="M62" i="4"/>
  <c r="P75" i="4"/>
  <c r="M74" i="4"/>
  <c r="M59" i="4"/>
  <c r="M75" i="4"/>
  <c r="S62" i="4"/>
  <c r="E29" i="9"/>
  <c r="B14" i="8"/>
  <c r="E63" i="21"/>
  <c r="E93" i="21"/>
  <c r="E46" i="21"/>
  <c r="E66" i="21"/>
  <c r="E83" i="21"/>
  <c r="E65" i="21"/>
  <c r="B104" i="21"/>
  <c r="B105" i="21" s="1"/>
  <c r="B106" i="21" s="1"/>
  <c r="B107" i="21" s="1"/>
  <c r="B108" i="21" s="1"/>
  <c r="B109" i="21" s="1"/>
  <c r="B110" i="21" s="1"/>
  <c r="E89" i="21"/>
  <c r="E39" i="21"/>
  <c r="E62" i="21"/>
  <c r="E72" i="21"/>
  <c r="E54" i="21"/>
  <c r="AI28" i="7"/>
  <c r="E15" i="15"/>
  <c r="F15" i="15"/>
  <c r="G15" i="15"/>
  <c r="C13" i="13"/>
  <c r="C11" i="13"/>
  <c r="E15" i="14"/>
  <c r="F15" i="14"/>
  <c r="G15" i="14"/>
  <c r="G16" i="14"/>
  <c r="D17" i="15"/>
  <c r="R39" i="19"/>
  <c r="C60" i="19" s="1"/>
  <c r="R45" i="19"/>
  <c r="C61" i="19" s="1"/>
  <c r="E50" i="27"/>
  <c r="F50" i="27"/>
  <c r="D50" i="27"/>
  <c r="E16" i="14"/>
  <c r="F16" i="14"/>
  <c r="D18" i="15"/>
  <c r="D19" i="15"/>
  <c r="D20" i="15"/>
  <c r="D21" i="15"/>
  <c r="C74" i="8"/>
  <c r="C49" i="9"/>
  <c r="C63" i="9"/>
  <c r="C15" i="19"/>
  <c r="C32" i="19"/>
  <c r="AH22" i="7"/>
  <c r="C10" i="19"/>
  <c r="C14" i="19"/>
  <c r="C25" i="20"/>
  <c r="C26" i="20" s="1"/>
  <c r="C27" i="20" s="1"/>
  <c r="C28" i="20" s="1"/>
  <c r="C29" i="20" s="1"/>
  <c r="C30" i="20" s="1"/>
  <c r="C31" i="9"/>
  <c r="C36" i="9" s="1"/>
  <c r="AI22" i="7"/>
  <c r="C11" i="19"/>
  <c r="M58" i="4"/>
  <c r="AH28" i="7"/>
  <c r="C47" i="19"/>
  <c r="C49" i="19"/>
  <c r="C45" i="19"/>
  <c r="C61" i="20"/>
  <c r="C62" i="20" s="1"/>
  <c r="C63" i="20" s="1"/>
  <c r="C64" i="20" s="1"/>
  <c r="C65" i="20" s="1"/>
  <c r="C66" i="20" s="1"/>
  <c r="M64" i="4"/>
  <c r="C31" i="19"/>
  <c r="C16" i="19"/>
  <c r="C20" i="19"/>
  <c r="P59" i="4"/>
  <c r="C66" i="9"/>
  <c r="P63" i="4"/>
  <c r="C68" i="8"/>
  <c r="J30" i="9"/>
  <c r="E57" i="20"/>
  <c r="E34" i="20"/>
  <c r="E50" i="20"/>
  <c r="E59" i="20"/>
  <c r="E45" i="20"/>
  <c r="E37" i="20"/>
  <c r="E28" i="20"/>
  <c r="E23" i="20"/>
  <c r="J25" i="9"/>
  <c r="E32" i="20"/>
  <c r="E47" i="20"/>
  <c r="E64" i="20"/>
  <c r="B15" i="8"/>
  <c r="G23" i="4"/>
  <c r="J26" i="9"/>
  <c r="B57" i="27"/>
  <c r="I57" i="27" s="1"/>
  <c r="Q57" i="27" s="1"/>
  <c r="R59" i="27" s="1"/>
  <c r="M11" i="5"/>
  <c r="L11" i="5"/>
  <c r="K11" i="5"/>
  <c r="H14" i="9"/>
  <c r="J36" i="9" s="1"/>
  <c r="D27" i="1"/>
  <c r="J35" i="9"/>
  <c r="G15" i="26"/>
  <c r="C76" i="8"/>
  <c r="D48" i="18"/>
  <c r="D49" i="18"/>
  <c r="E61" i="20"/>
  <c r="P64" i="4"/>
  <c r="Q33" i="19"/>
  <c r="B59" i="19" s="1"/>
  <c r="Q21" i="19"/>
  <c r="B57" i="19" s="1"/>
  <c r="Q9" i="19"/>
  <c r="B55" i="19" s="1"/>
  <c r="Q27" i="19"/>
  <c r="B58" i="19" s="1"/>
  <c r="Q15" i="19"/>
  <c r="B56" i="19" s="1"/>
  <c r="C51" i="9"/>
  <c r="C79" i="8"/>
  <c r="E17" i="14"/>
  <c r="F17" i="14"/>
  <c r="G17" i="14"/>
  <c r="E16" i="15"/>
  <c r="F16" i="15"/>
  <c r="G16" i="15"/>
  <c r="D22" i="15"/>
  <c r="D21" i="14"/>
  <c r="I23" i="13"/>
  <c r="I22" i="13" s="1"/>
  <c r="B14" i="23"/>
  <c r="B12" i="23"/>
  <c r="F39" i="19"/>
  <c r="F67" i="9"/>
  <c r="F45" i="19"/>
  <c r="G66" i="20"/>
  <c r="E66" i="20"/>
  <c r="E60" i="20"/>
  <c r="I39" i="19"/>
  <c r="I67" i="9"/>
  <c r="I45" i="19"/>
  <c r="G39" i="19"/>
  <c r="G67" i="9"/>
  <c r="G45" i="19"/>
  <c r="H42" i="19"/>
  <c r="H70" i="9"/>
  <c r="H48" i="19"/>
  <c r="F70" i="9"/>
  <c r="F48" i="19"/>
  <c r="F42" i="19"/>
  <c r="C17" i="19"/>
  <c r="E30" i="9"/>
  <c r="B14" i="9"/>
  <c r="E26" i="9"/>
  <c r="E25" i="9"/>
  <c r="E27" i="9"/>
  <c r="E28" i="9"/>
  <c r="D51" i="18"/>
  <c r="G19" i="26"/>
  <c r="J19" i="26" s="1"/>
  <c r="E5" i="4" s="1"/>
  <c r="C37" i="20"/>
  <c r="C38" i="20" s="1"/>
  <c r="C39" i="20" s="1"/>
  <c r="C40" i="20" s="1"/>
  <c r="C41" i="20" s="1"/>
  <c r="C42" i="20" s="1"/>
  <c r="C21" i="19"/>
  <c r="C43" i="9"/>
  <c r="C45" i="9" s="1"/>
  <c r="C22" i="19"/>
  <c r="P72" i="4"/>
  <c r="M61" i="4"/>
  <c r="C33" i="19"/>
  <c r="C55" i="9"/>
  <c r="C59" i="9" s="1"/>
  <c r="C72" i="9"/>
  <c r="C70" i="9"/>
  <c r="C72" i="8"/>
  <c r="C65" i="8"/>
  <c r="C34" i="19"/>
  <c r="AH26" i="7"/>
  <c r="P62" i="4"/>
  <c r="C38" i="19"/>
  <c r="S72" i="4"/>
  <c r="AI25" i="7"/>
  <c r="C53" i="8"/>
  <c r="C30" i="19"/>
  <c r="C29" i="19"/>
  <c r="C27" i="19"/>
  <c r="C43" i="20"/>
  <c r="C44" i="20" s="1"/>
  <c r="C45" i="20" s="1"/>
  <c r="C46" i="20" s="1"/>
  <c r="C47" i="20" s="1"/>
  <c r="C48" i="20" s="1"/>
  <c r="AH25" i="7"/>
  <c r="M72" i="4"/>
  <c r="C34" i="9"/>
  <c r="S68" i="4"/>
  <c r="S43" i="4"/>
  <c r="C3" i="19"/>
  <c r="AH21" i="7"/>
  <c r="M68" i="4"/>
  <c r="P68" i="4"/>
  <c r="C4" i="19"/>
  <c r="P61" i="4"/>
  <c r="P58" i="4"/>
  <c r="C12" i="19"/>
  <c r="O56" i="27"/>
  <c r="G8" i="17"/>
  <c r="D61" i="18"/>
  <c r="E18" i="14"/>
  <c r="F18" i="14"/>
  <c r="G18" i="14"/>
  <c r="E36" i="9"/>
  <c r="E34" i="9"/>
  <c r="E35" i="9"/>
  <c r="B15" i="9"/>
  <c r="E41" i="9" s="1"/>
  <c r="E33" i="9"/>
  <c r="E31" i="9"/>
  <c r="E32" i="9"/>
  <c r="D22" i="14"/>
  <c r="E17" i="15"/>
  <c r="F17" i="15"/>
  <c r="G17" i="15"/>
  <c r="Q45" i="19"/>
  <c r="B61" i="19" s="1"/>
  <c r="D23" i="15"/>
  <c r="C60" i="9"/>
  <c r="C56" i="9"/>
  <c r="C55" i="8"/>
  <c r="D24" i="15"/>
  <c r="E18" i="15"/>
  <c r="F18" i="15"/>
  <c r="G18" i="15"/>
  <c r="E19" i="14"/>
  <c r="F19" i="14"/>
  <c r="G19" i="14"/>
  <c r="D23" i="14"/>
  <c r="E37" i="9"/>
  <c r="E42" i="9"/>
  <c r="E38" i="9"/>
  <c r="E19" i="15"/>
  <c r="F19" i="15"/>
  <c r="G19" i="15"/>
  <c r="D24" i="14"/>
  <c r="E20" i="14"/>
  <c r="F20" i="14"/>
  <c r="G20" i="14"/>
  <c r="D25" i="15"/>
  <c r="E21" i="14"/>
  <c r="F21" i="14"/>
  <c r="G21" i="14"/>
  <c r="E20" i="15"/>
  <c r="F20" i="15"/>
  <c r="G20" i="15"/>
  <c r="D26" i="15"/>
  <c r="D25" i="14"/>
  <c r="E21" i="15"/>
  <c r="F21" i="15"/>
  <c r="G21" i="15"/>
  <c r="E22" i="14"/>
  <c r="F22" i="14"/>
  <c r="G22" i="14"/>
  <c r="D26" i="14"/>
  <c r="D27" i="15"/>
  <c r="D59" i="18"/>
  <c r="D63" i="18"/>
  <c r="G22" i="15"/>
  <c r="E22" i="15"/>
  <c r="F22" i="15"/>
  <c r="D28" i="15"/>
  <c r="D27" i="14"/>
  <c r="E23" i="14"/>
  <c r="F23" i="14"/>
  <c r="G23" i="14"/>
  <c r="E24" i="14"/>
  <c r="F24" i="14"/>
  <c r="G24" i="14"/>
  <c r="D29" i="15"/>
  <c r="D28" i="14"/>
  <c r="E23" i="15"/>
  <c r="F23" i="15"/>
  <c r="G23" i="15"/>
  <c r="E25" i="14"/>
  <c r="F25" i="14"/>
  <c r="G25" i="14"/>
  <c r="E24" i="15"/>
  <c r="F24" i="15"/>
  <c r="G24" i="15"/>
  <c r="D30" i="15"/>
  <c r="D29" i="14"/>
  <c r="E25" i="15"/>
  <c r="F25" i="15"/>
  <c r="G25" i="15"/>
  <c r="E26" i="14"/>
  <c r="F26" i="14"/>
  <c r="G26" i="14"/>
  <c r="D30" i="14"/>
  <c r="D31" i="15"/>
  <c r="E27" i="14"/>
  <c r="F27" i="14"/>
  <c r="G27" i="14"/>
  <c r="D11" i="13"/>
  <c r="E26" i="15"/>
  <c r="F26" i="15"/>
  <c r="G26" i="15"/>
  <c r="D31" i="14"/>
  <c r="D32" i="15"/>
  <c r="E27" i="15"/>
  <c r="F27" i="15"/>
  <c r="G27" i="15"/>
  <c r="D13" i="13"/>
  <c r="E28" i="14"/>
  <c r="F28" i="14"/>
  <c r="G28" i="14"/>
  <c r="D33" i="15"/>
  <c r="D32" i="14"/>
  <c r="D33" i="14"/>
  <c r="D34" i="15"/>
  <c r="E28" i="15"/>
  <c r="F28" i="15"/>
  <c r="G28" i="15"/>
  <c r="E29" i="14"/>
  <c r="F29" i="14"/>
  <c r="G29" i="14"/>
  <c r="E29" i="15"/>
  <c r="F29" i="15"/>
  <c r="G29" i="15"/>
  <c r="E30" i="14"/>
  <c r="F30" i="14"/>
  <c r="G30" i="14"/>
  <c r="D35" i="15"/>
  <c r="D34" i="14"/>
  <c r="E31" i="14"/>
  <c r="F31" i="14"/>
  <c r="G31" i="14"/>
  <c r="E30" i="15"/>
  <c r="F30" i="15"/>
  <c r="G30" i="15"/>
  <c r="D36" i="15"/>
  <c r="D35" i="14"/>
  <c r="E31" i="15"/>
  <c r="F31" i="15"/>
  <c r="G31" i="15"/>
  <c r="E32" i="14"/>
  <c r="F32" i="14"/>
  <c r="G32" i="14"/>
  <c r="D36" i="14"/>
  <c r="D37" i="15"/>
  <c r="E33" i="14"/>
  <c r="F33" i="14"/>
  <c r="G33" i="14"/>
  <c r="D38" i="15"/>
  <c r="E32" i="15"/>
  <c r="F32" i="15"/>
  <c r="G32" i="15"/>
  <c r="D37" i="14"/>
  <c r="E34" i="14"/>
  <c r="F34" i="14"/>
  <c r="G34" i="14"/>
  <c r="E33" i="15"/>
  <c r="F33" i="15"/>
  <c r="G33" i="15"/>
  <c r="D38" i="14"/>
  <c r="D39" i="15"/>
  <c r="E34" i="15"/>
  <c r="F34" i="15"/>
  <c r="G34" i="15"/>
  <c r="E35" i="14"/>
  <c r="F35" i="14"/>
  <c r="G35" i="14"/>
  <c r="D40" i="15"/>
  <c r="D39" i="14"/>
  <c r="E36" i="14"/>
  <c r="F36" i="14"/>
  <c r="G36" i="14"/>
  <c r="E35" i="15"/>
  <c r="F35" i="15"/>
  <c r="G35" i="15"/>
  <c r="D40" i="14"/>
  <c r="D41" i="15"/>
  <c r="E36" i="15"/>
  <c r="F36" i="15"/>
  <c r="G36" i="15"/>
  <c r="E37" i="14"/>
  <c r="F37" i="14"/>
  <c r="G37" i="14"/>
  <c r="D42" i="15"/>
  <c r="D41" i="14"/>
  <c r="E37" i="15"/>
  <c r="F37" i="15"/>
  <c r="G37" i="15"/>
  <c r="E38" i="14"/>
  <c r="F38" i="14"/>
  <c r="G38" i="14"/>
  <c r="D42" i="14"/>
  <c r="D43" i="15"/>
  <c r="E38" i="15"/>
  <c r="F38" i="15"/>
  <c r="G38" i="15"/>
  <c r="D44" i="15"/>
  <c r="E39" i="14"/>
  <c r="F39" i="14"/>
  <c r="G39" i="14"/>
  <c r="E11" i="13"/>
  <c r="D43" i="14"/>
  <c r="E40" i="14"/>
  <c r="F40" i="14"/>
  <c r="G40" i="14"/>
  <c r="G39" i="15"/>
  <c r="E39" i="15"/>
  <c r="F39" i="15"/>
  <c r="E13" i="13"/>
  <c r="D44" i="14"/>
  <c r="D45" i="15"/>
  <c r="G41" i="14"/>
  <c r="E41" i="14"/>
  <c r="F41" i="14"/>
  <c r="D45" i="14"/>
  <c r="G40" i="15"/>
  <c r="E40" i="15"/>
  <c r="F40" i="15"/>
  <c r="D46" i="15"/>
  <c r="D47" i="15"/>
  <c r="E41" i="15"/>
  <c r="F41" i="15"/>
  <c r="G41" i="15"/>
  <c r="D46" i="14"/>
  <c r="E42" i="14"/>
  <c r="F42" i="14"/>
  <c r="G42" i="14"/>
  <c r="G43" i="14"/>
  <c r="E43" i="14"/>
  <c r="F43" i="14"/>
  <c r="G42" i="15"/>
  <c r="E42" i="15"/>
  <c r="F42" i="15"/>
  <c r="D47" i="14"/>
  <c r="D48" i="15"/>
  <c r="D49" i="15"/>
  <c r="D48" i="14"/>
  <c r="G43" i="15"/>
  <c r="E43" i="15"/>
  <c r="F43" i="15"/>
  <c r="E44" i="14"/>
  <c r="F44" i="14"/>
  <c r="G44" i="14"/>
  <c r="G45" i="14"/>
  <c r="E45" i="14"/>
  <c r="F45" i="14"/>
  <c r="G44" i="15"/>
  <c r="E44" i="15"/>
  <c r="F44" i="15"/>
  <c r="D49" i="14"/>
  <c r="D50" i="15"/>
  <c r="D51" i="15"/>
  <c r="D50" i="14"/>
  <c r="E45" i="15"/>
  <c r="F45" i="15"/>
  <c r="G45" i="15"/>
  <c r="E46" i="14"/>
  <c r="F46" i="14"/>
  <c r="G46" i="14"/>
  <c r="G46" i="15"/>
  <c r="E46" i="15"/>
  <c r="F46" i="15"/>
  <c r="G47" i="14"/>
  <c r="E47" i="14"/>
  <c r="F47" i="14"/>
  <c r="D51" i="14"/>
  <c r="D52" i="15"/>
  <c r="D53" i="15"/>
  <c r="D52" i="14"/>
  <c r="E48" i="14"/>
  <c r="F48" i="14"/>
  <c r="G48" i="14"/>
  <c r="E47" i="15"/>
  <c r="F47" i="15"/>
  <c r="G47" i="15"/>
  <c r="G49" i="14"/>
  <c r="E49" i="14"/>
  <c r="F49" i="14"/>
  <c r="G48" i="15"/>
  <c r="E48" i="15"/>
  <c r="F48" i="15"/>
  <c r="D53" i="14"/>
  <c r="D54" i="15"/>
  <c r="D55" i="15"/>
  <c r="D54" i="14"/>
  <c r="E49" i="15"/>
  <c r="F49" i="15"/>
  <c r="G49" i="15"/>
  <c r="E50" i="14"/>
  <c r="F50" i="14"/>
  <c r="G50" i="14"/>
  <c r="G50" i="15"/>
  <c r="E50" i="15"/>
  <c r="F50" i="15"/>
  <c r="E51" i="14"/>
  <c r="F51" i="14"/>
  <c r="G51" i="14"/>
  <c r="F11" i="13"/>
  <c r="D55" i="14"/>
  <c r="D56" i="15"/>
  <c r="E52" i="14"/>
  <c r="F52" i="14"/>
  <c r="G52" i="14"/>
  <c r="E51" i="15"/>
  <c r="F51" i="15"/>
  <c r="F13" i="13"/>
  <c r="G51" i="15"/>
  <c r="D57" i="15"/>
  <c r="D56" i="14"/>
  <c r="E53" i="14"/>
  <c r="F53" i="14"/>
  <c r="G53" i="14"/>
  <c r="D58" i="15"/>
  <c r="E52" i="15"/>
  <c r="F52" i="15"/>
  <c r="G52" i="15"/>
  <c r="D57" i="14"/>
  <c r="E53" i="15"/>
  <c r="F53" i="15"/>
  <c r="G53" i="15"/>
  <c r="E54" i="14"/>
  <c r="F54" i="14"/>
  <c r="G54" i="14"/>
  <c r="D58" i="14"/>
  <c r="D59" i="15"/>
  <c r="E54" i="15"/>
  <c r="F54" i="15"/>
  <c r="G54" i="15"/>
  <c r="E55" i="14"/>
  <c r="F55" i="14"/>
  <c r="G55" i="14"/>
  <c r="D60" i="15"/>
  <c r="D59" i="14"/>
  <c r="E55" i="15"/>
  <c r="F55" i="15"/>
  <c r="G55" i="15"/>
  <c r="E56" i="14"/>
  <c r="F56" i="14"/>
  <c r="G56" i="14"/>
  <c r="D60" i="14"/>
  <c r="D61" i="15"/>
  <c r="E56" i="15"/>
  <c r="F56" i="15"/>
  <c r="G56" i="15"/>
  <c r="E57" i="14"/>
  <c r="F57" i="14"/>
  <c r="G57" i="14"/>
  <c r="D62" i="15"/>
  <c r="D61" i="14"/>
  <c r="E57" i="15"/>
  <c r="F57" i="15"/>
  <c r="G57" i="15"/>
  <c r="E58" i="14"/>
  <c r="F58" i="14"/>
  <c r="G58" i="14"/>
  <c r="D62" i="14"/>
  <c r="D63" i="15"/>
  <c r="E58" i="15"/>
  <c r="F58" i="15"/>
  <c r="G58" i="15"/>
  <c r="E59" i="14"/>
  <c r="F59" i="14"/>
  <c r="G59" i="14"/>
  <c r="D64" i="15"/>
  <c r="D63" i="14"/>
  <c r="E59" i="15"/>
  <c r="F59" i="15"/>
  <c r="G59" i="15"/>
  <c r="E60" i="14"/>
  <c r="F60" i="14"/>
  <c r="G60" i="14"/>
  <c r="D64" i="14"/>
  <c r="D65" i="15"/>
  <c r="E60" i="15"/>
  <c r="F60" i="15"/>
  <c r="G60" i="15"/>
  <c r="E61" i="14"/>
  <c r="F61" i="14"/>
  <c r="G61" i="14"/>
  <c r="D66" i="15"/>
  <c r="D65" i="14"/>
  <c r="E61" i="15"/>
  <c r="F61" i="15"/>
  <c r="G61" i="15"/>
  <c r="G62" i="14"/>
  <c r="E62" i="14"/>
  <c r="F62" i="14"/>
  <c r="D66" i="14"/>
  <c r="D67" i="15"/>
  <c r="E62" i="15"/>
  <c r="F62" i="15"/>
  <c r="G62" i="15"/>
  <c r="D67" i="14"/>
  <c r="E63" i="14"/>
  <c r="F63" i="14"/>
  <c r="G63" i="14"/>
  <c r="G11" i="13"/>
  <c r="D68" i="15"/>
  <c r="G64" i="14"/>
  <c r="E64" i="14"/>
  <c r="F64" i="14"/>
  <c r="G13" i="13"/>
  <c r="E63" i="15"/>
  <c r="F63" i="15"/>
  <c r="G63" i="15"/>
  <c r="D69" i="15"/>
  <c r="D68" i="14"/>
  <c r="E64" i="15"/>
  <c r="F64" i="15"/>
  <c r="G64" i="15"/>
  <c r="E65" i="14"/>
  <c r="F65" i="14"/>
  <c r="G65" i="14"/>
  <c r="D69" i="14"/>
  <c r="D70" i="15"/>
  <c r="G65" i="15"/>
  <c r="E65" i="15"/>
  <c r="F65" i="15"/>
  <c r="G66" i="14"/>
  <c r="E66" i="14"/>
  <c r="F66" i="14"/>
  <c r="D71" i="15"/>
  <c r="D70" i="14"/>
  <c r="D71" i="14"/>
  <c r="E67" i="14"/>
  <c r="F67" i="14"/>
  <c r="G67" i="14"/>
  <c r="E66" i="15"/>
  <c r="F66" i="15"/>
  <c r="G66" i="15"/>
  <c r="D72" i="15"/>
  <c r="E67" i="15"/>
  <c r="F67" i="15"/>
  <c r="G67" i="15"/>
  <c r="E68" i="14"/>
  <c r="F68" i="14"/>
  <c r="G68" i="14"/>
  <c r="D73" i="15"/>
  <c r="D72" i="14"/>
  <c r="G68" i="15"/>
  <c r="E68" i="15"/>
  <c r="F68" i="15"/>
  <c r="E69" i="14"/>
  <c r="F69" i="14"/>
  <c r="G69" i="14"/>
  <c r="D73" i="14"/>
  <c r="D74" i="15"/>
  <c r="E70" i="14"/>
  <c r="F70" i="14"/>
  <c r="G70" i="14"/>
  <c r="D75" i="15"/>
  <c r="G69" i="15"/>
  <c r="E69" i="15"/>
  <c r="F69" i="15"/>
  <c r="E71" i="14"/>
  <c r="F71" i="14"/>
  <c r="G71" i="14"/>
  <c r="E70" i="15"/>
  <c r="F70" i="15"/>
  <c r="G70" i="15"/>
  <c r="D76" i="15"/>
  <c r="G72" i="14"/>
  <c r="E72" i="14"/>
  <c r="F72" i="14"/>
  <c r="E71" i="15"/>
  <c r="F71" i="15"/>
  <c r="G71" i="15"/>
  <c r="D77" i="15"/>
  <c r="E72" i="15"/>
  <c r="F72" i="15"/>
  <c r="G72" i="15"/>
  <c r="G73" i="14"/>
  <c r="G74" i="14"/>
  <c r="E73" i="14"/>
  <c r="F73" i="14"/>
  <c r="D78" i="15"/>
  <c r="G73" i="15"/>
  <c r="E73" i="15"/>
  <c r="F73" i="15"/>
  <c r="D79" i="15"/>
  <c r="H11" i="13"/>
  <c r="K10" i="13"/>
  <c r="D80" i="15"/>
  <c r="G74" i="15"/>
  <c r="E74" i="15"/>
  <c r="F74" i="15"/>
  <c r="H13" i="13"/>
  <c r="E75" i="15"/>
  <c r="F75" i="15"/>
  <c r="G75" i="15"/>
  <c r="D81" i="15"/>
  <c r="G76" i="15"/>
  <c r="E76" i="15"/>
  <c r="F76" i="15"/>
  <c r="D82" i="15"/>
  <c r="E77" i="15"/>
  <c r="F77" i="15"/>
  <c r="G77" i="15"/>
  <c r="D83" i="15"/>
  <c r="E78" i="15"/>
  <c r="F78" i="15"/>
  <c r="G78" i="15"/>
  <c r="D84" i="15"/>
  <c r="E79" i="15"/>
  <c r="F79" i="15"/>
  <c r="G79" i="15"/>
  <c r="D85" i="15"/>
  <c r="E80" i="15"/>
  <c r="F80" i="15"/>
  <c r="G80" i="15"/>
  <c r="D86" i="15"/>
  <c r="G81" i="15"/>
  <c r="E81" i="15"/>
  <c r="F81" i="15"/>
  <c r="D87" i="15"/>
  <c r="D88" i="15"/>
  <c r="E82" i="15"/>
  <c r="F82" i="15"/>
  <c r="G82" i="15"/>
  <c r="E83" i="15"/>
  <c r="F83" i="15"/>
  <c r="G83" i="15"/>
  <c r="D89" i="15"/>
  <c r="E84" i="15"/>
  <c r="F84" i="15"/>
  <c r="G84" i="15"/>
  <c r="D90" i="15"/>
  <c r="E85" i="15"/>
  <c r="F85" i="15"/>
  <c r="G85" i="15"/>
  <c r="D91" i="15"/>
  <c r="E86" i="15"/>
  <c r="F86" i="15"/>
  <c r="G86" i="15"/>
  <c r="D92" i="15"/>
  <c r="E87" i="15"/>
  <c r="F87" i="15"/>
  <c r="G87" i="15"/>
  <c r="I13" i="13"/>
  <c r="D93" i="15"/>
  <c r="E88" i="15"/>
  <c r="F88" i="15"/>
  <c r="G88" i="15"/>
  <c r="D94" i="15"/>
  <c r="G89" i="15"/>
  <c r="E89" i="15"/>
  <c r="F89" i="15"/>
  <c r="D95" i="15"/>
  <c r="D96" i="15"/>
  <c r="G90" i="15"/>
  <c r="E90" i="15"/>
  <c r="F90" i="15"/>
  <c r="G91" i="15"/>
  <c r="E91" i="15"/>
  <c r="F91" i="15"/>
  <c r="D97" i="15"/>
  <c r="E92" i="15"/>
  <c r="F92" i="15"/>
  <c r="G92" i="15"/>
  <c r="G93" i="15"/>
  <c r="E93" i="15"/>
  <c r="F93" i="15"/>
  <c r="G94" i="15"/>
  <c r="E94" i="15"/>
  <c r="F94" i="15"/>
  <c r="G95" i="15"/>
  <c r="E95" i="15"/>
  <c r="F95" i="15"/>
  <c r="G96" i="15"/>
  <c r="E96" i="15"/>
  <c r="F96" i="15"/>
  <c r="E97" i="15"/>
  <c r="F97" i="15"/>
  <c r="G97" i="15"/>
  <c r="G98" i="15"/>
  <c r="K12" i="13"/>
  <c r="J13" i="13"/>
  <c r="J34" i="9"/>
  <c r="H15" i="9"/>
  <c r="J39" i="9" s="1"/>
  <c r="J32" i="9"/>
  <c r="J31" i="9"/>
  <c r="C33" i="9"/>
  <c r="K34" i="4"/>
  <c r="N45" i="4"/>
  <c r="Q45" i="4"/>
  <c r="S45" i="4" s="1"/>
  <c r="Q34" i="4"/>
  <c r="S34" i="4" s="1"/>
  <c r="N34" i="4"/>
  <c r="K45" i="4"/>
  <c r="K36" i="4"/>
  <c r="Q36" i="4"/>
  <c r="S36" i="4" s="1"/>
  <c r="N47" i="4"/>
  <c r="N36" i="4"/>
  <c r="Q47" i="4"/>
  <c r="S47" i="4" s="1"/>
  <c r="K47" i="4"/>
  <c r="B16" i="8"/>
  <c r="C54" i="9"/>
  <c r="C52" i="9"/>
  <c r="C53" i="9"/>
  <c r="C50" i="9"/>
  <c r="E22" i="13"/>
  <c r="E29" i="20"/>
  <c r="E25" i="20"/>
  <c r="E41" i="20"/>
  <c r="E48" i="20"/>
  <c r="E36" i="20"/>
  <c r="E44" i="20"/>
  <c r="E40" i="20"/>
  <c r="E54" i="20"/>
  <c r="E38" i="20"/>
  <c r="E63" i="20"/>
  <c r="E88" i="21"/>
  <c r="E70" i="21"/>
  <c r="E57" i="21"/>
  <c r="E80" i="21"/>
  <c r="E30" i="21"/>
  <c r="E90" i="21"/>
  <c r="E92" i="21"/>
  <c r="E38" i="21"/>
  <c r="E75" i="21"/>
  <c r="E28" i="21"/>
  <c r="E48" i="21"/>
  <c r="E47" i="21"/>
  <c r="E29" i="21"/>
  <c r="R33" i="19"/>
  <c r="C59" i="19" s="1"/>
  <c r="E53" i="20"/>
  <c r="E27" i="20"/>
  <c r="E55" i="20"/>
  <c r="E21" i="20"/>
  <c r="E33" i="20"/>
  <c r="E43" i="20"/>
  <c r="E52" i="20"/>
  <c r="E22" i="20"/>
  <c r="E35" i="20"/>
  <c r="E24" i="20"/>
  <c r="E42" i="20"/>
  <c r="E26" i="20"/>
  <c r="E62" i="20"/>
  <c r="E58" i="20"/>
  <c r="E65" i="20"/>
  <c r="B6" i="25"/>
  <c r="E25" i="21"/>
  <c r="E37" i="21"/>
  <c r="E84" i="21"/>
  <c r="E64" i="21"/>
  <c r="E56" i="21"/>
  <c r="E27" i="21"/>
  <c r="E36" i="21"/>
  <c r="E44" i="21"/>
  <c r="E91" i="21"/>
  <c r="E71" i="21"/>
  <c r="E34" i="21"/>
  <c r="E79" i="21"/>
  <c r="E73" i="21"/>
  <c r="E45" i="21"/>
  <c r="E30" i="20"/>
  <c r="E61" i="21"/>
  <c r="E35" i="21"/>
  <c r="E81" i="21"/>
  <c r="E31" i="20"/>
  <c r="E49" i="20"/>
  <c r="H23" i="13"/>
  <c r="H22" i="13" s="1"/>
  <c r="G23" i="13"/>
  <c r="G22" i="13" s="1"/>
  <c r="R15" i="19"/>
  <c r="C56" i="19" s="1"/>
  <c r="J41" i="9"/>
  <c r="J37" i="9"/>
  <c r="H16" i="9"/>
  <c r="J43" i="9" s="1"/>
  <c r="J47" i="9" l="1"/>
  <c r="A13" i="23"/>
  <c r="C15" i="23"/>
  <c r="B16" i="23"/>
  <c r="A12" i="23"/>
  <c r="A17" i="23"/>
  <c r="B13" i="23"/>
  <c r="C12" i="23"/>
  <c r="C18" i="23"/>
  <c r="S15" i="4"/>
  <c r="E40" i="9"/>
  <c r="E39" i="9"/>
  <c r="B16" i="9"/>
  <c r="I5" i="3"/>
  <c r="K24" i="34"/>
  <c r="E25" i="34"/>
  <c r="H10" i="5"/>
  <c r="D25" i="34"/>
  <c r="G10" i="5"/>
  <c r="H5" i="3"/>
  <c r="J24" i="34"/>
  <c r="G5" i="3"/>
  <c r="I24" i="34"/>
  <c r="F10" i="5"/>
  <c r="C25" i="34"/>
  <c r="J46" i="9"/>
  <c r="J48" i="9"/>
  <c r="J33" i="9"/>
  <c r="C37" i="19"/>
  <c r="F73" i="4"/>
  <c r="G73" i="4"/>
  <c r="AI27" i="7"/>
  <c r="F74" i="4"/>
  <c r="G74" i="4"/>
  <c r="AH24" i="7"/>
  <c r="F71" i="4"/>
  <c r="G71" i="4"/>
  <c r="C7" i="19"/>
  <c r="F68" i="4"/>
  <c r="G68" i="4"/>
  <c r="C32" i="8"/>
  <c r="C38" i="8" s="1"/>
  <c r="F69" i="4"/>
  <c r="G69" i="4"/>
  <c r="C48" i="19"/>
  <c r="G75" i="4"/>
  <c r="F75" i="4"/>
  <c r="C28" i="19"/>
  <c r="F72" i="4"/>
  <c r="G72" i="4"/>
  <c r="C39" i="8"/>
  <c r="F70" i="4"/>
  <c r="G70" i="4"/>
  <c r="P74" i="4"/>
  <c r="P73" i="4"/>
  <c r="P70" i="4"/>
  <c r="P69" i="4"/>
  <c r="Z12" i="7"/>
  <c r="Z13" i="7"/>
  <c r="G21" i="3"/>
  <c r="H14" i="8"/>
  <c r="J30" i="8"/>
  <c r="J28" i="8"/>
  <c r="J26" i="8"/>
  <c r="J31" i="8"/>
  <c r="E68" i="4" s="1"/>
  <c r="J29" i="8"/>
  <c r="J27" i="8"/>
  <c r="J25" i="8"/>
  <c r="D47" i="8"/>
  <c r="D49" i="8"/>
  <c r="D51" i="8"/>
  <c r="D46" i="8"/>
  <c r="D48" i="8"/>
  <c r="D50" i="8"/>
  <c r="D52" i="8"/>
  <c r="D27" i="8"/>
  <c r="D29" i="8"/>
  <c r="D31" i="8"/>
  <c r="D26" i="8"/>
  <c r="D28" i="8"/>
  <c r="D30" i="8"/>
  <c r="D25" i="8"/>
  <c r="D41" i="8"/>
  <c r="D43" i="8"/>
  <c r="D45" i="8"/>
  <c r="E59" i="4" s="1"/>
  <c r="E22" i="8"/>
  <c r="D40" i="8"/>
  <c r="D42" i="8"/>
  <c r="D44" i="8"/>
  <c r="D39" i="8"/>
  <c r="D33" i="8"/>
  <c r="D35" i="8"/>
  <c r="D37" i="8"/>
  <c r="D32" i="8"/>
  <c r="D34" i="8"/>
  <c r="D36" i="8"/>
  <c r="D38" i="8"/>
  <c r="E58" i="4" s="1"/>
  <c r="G57" i="4"/>
  <c r="G58" i="4"/>
  <c r="G59" i="4"/>
  <c r="G60" i="4"/>
  <c r="G61" i="4"/>
  <c r="G62" i="4"/>
  <c r="G63" i="4"/>
  <c r="G64" i="4"/>
  <c r="F57" i="4"/>
  <c r="F58" i="4"/>
  <c r="F59" i="4"/>
  <c r="F60" i="4"/>
  <c r="F61" i="4"/>
  <c r="F62" i="4"/>
  <c r="F63" i="4"/>
  <c r="F64" i="4"/>
  <c r="E60" i="4"/>
  <c r="U61" i="4"/>
  <c r="U60" i="4"/>
  <c r="S71" i="4"/>
  <c r="B7" i="25"/>
  <c r="C58" i="8"/>
  <c r="C59" i="8"/>
  <c r="C70" i="8"/>
  <c r="C73" i="8"/>
  <c r="C64" i="8"/>
  <c r="C66" i="8"/>
  <c r="S75" i="4"/>
  <c r="V75" i="4" s="1"/>
  <c r="S73" i="4"/>
  <c r="S64" i="4"/>
  <c r="S63" i="4"/>
  <c r="S59" i="4"/>
  <c r="S58" i="4"/>
  <c r="C75" i="8"/>
  <c r="C80" i="8"/>
  <c r="C41" i="8"/>
  <c r="C45" i="8"/>
  <c r="D11" i="29"/>
  <c r="E57" i="4"/>
  <c r="U74" i="4"/>
  <c r="U72" i="4"/>
  <c r="U71" i="4"/>
  <c r="U70" i="4"/>
  <c r="U69" i="4"/>
  <c r="S61" i="4"/>
  <c r="V61" i="4" s="1"/>
  <c r="U58" i="4"/>
  <c r="S69" i="4"/>
  <c r="V69" i="4" s="1"/>
  <c r="S74" i="4"/>
  <c r="V74" i="4" s="1"/>
  <c r="V58" i="4"/>
  <c r="U64" i="4"/>
  <c r="S70" i="4"/>
  <c r="V70" i="4" s="1"/>
  <c r="U62" i="4"/>
  <c r="U59" i="4"/>
  <c r="V62" i="4"/>
  <c r="V64" i="4"/>
  <c r="O17" i="4"/>
  <c r="P17" i="4" s="1"/>
  <c r="F6" i="25"/>
  <c r="B20" i="25" s="1"/>
  <c r="H15" i="8"/>
  <c r="Z8" i="7"/>
  <c r="Z9" i="7"/>
  <c r="Z17" i="7"/>
  <c r="E47" i="9"/>
  <c r="G20" i="17"/>
  <c r="D28" i="1"/>
  <c r="B17" i="8"/>
  <c r="B8" i="25"/>
  <c r="AC13" i="7"/>
  <c r="AC12" i="7"/>
  <c r="AC11" i="7"/>
  <c r="AC15" i="7"/>
  <c r="AC14" i="7"/>
  <c r="AF16" i="7"/>
  <c r="AH30" i="7" s="1"/>
  <c r="AH23" i="7"/>
  <c r="C31" i="20"/>
  <c r="C32" i="20" s="1"/>
  <c r="C33" i="20" s="1"/>
  <c r="C34" i="20" s="1"/>
  <c r="C35" i="20" s="1"/>
  <c r="C36" i="20" s="1"/>
  <c r="C18" i="19"/>
  <c r="AI23" i="7"/>
  <c r="C37" i="9"/>
  <c r="C44" i="9"/>
  <c r="C48" i="9"/>
  <c r="C46" i="9"/>
  <c r="C36" i="8"/>
  <c r="C35" i="8"/>
  <c r="C34" i="8"/>
  <c r="F40" i="4"/>
  <c r="E22" i="17" s="1"/>
  <c r="I34" i="4"/>
  <c r="I38" i="4"/>
  <c r="E51" i="4"/>
  <c r="E51" i="27" s="1"/>
  <c r="AC7" i="7"/>
  <c r="AC10" i="7"/>
  <c r="AC17" i="7"/>
  <c r="AC8" i="7"/>
  <c r="AC16" i="7"/>
  <c r="AC18" i="7"/>
  <c r="C38" i="9"/>
  <c r="C32" i="9"/>
  <c r="C54" i="8"/>
  <c r="C56" i="8"/>
  <c r="C47" i="9"/>
  <c r="C33" i="8"/>
  <c r="C37" i="8"/>
  <c r="C25" i="9"/>
  <c r="C5" i="19"/>
  <c r="S57" i="4"/>
  <c r="AI21" i="7"/>
  <c r="C6" i="19"/>
  <c r="M57" i="4"/>
  <c r="P57" i="4"/>
  <c r="C25" i="8"/>
  <c r="C31" i="8" s="1"/>
  <c r="C35" i="9"/>
  <c r="C42" i="9"/>
  <c r="V73" i="4"/>
  <c r="C63" i="8"/>
  <c r="C62" i="8"/>
  <c r="C68" i="9"/>
  <c r="AI24" i="7"/>
  <c r="M60" i="4"/>
  <c r="C25" i="19"/>
  <c r="C24" i="19"/>
  <c r="P71" i="4"/>
  <c r="C46" i="8"/>
  <c r="S60" i="4"/>
  <c r="P60" i="4"/>
  <c r="C71" i="9"/>
  <c r="C61" i="8"/>
  <c r="C71" i="8"/>
  <c r="C19" i="20"/>
  <c r="C20" i="20" s="1"/>
  <c r="C21" i="20" s="1"/>
  <c r="C22" i="20" s="1"/>
  <c r="C23" i="20" s="1"/>
  <c r="C24" i="20" s="1"/>
  <c r="C23" i="19"/>
  <c r="J6" i="33"/>
  <c r="J8" i="33" s="1"/>
  <c r="E6" i="33"/>
  <c r="E8" i="33" s="1"/>
  <c r="U44" i="33" s="1"/>
  <c r="V44" i="33" s="1"/>
  <c r="N18" i="4"/>
  <c r="U18" i="4" s="1"/>
  <c r="L17" i="4"/>
  <c r="M17" i="4" s="1"/>
  <c r="F30" i="33"/>
  <c r="G30" i="33" s="1"/>
  <c r="I11" i="29"/>
  <c r="G14" i="29"/>
  <c r="V59" i="4"/>
  <c r="S17" i="4"/>
  <c r="G11" i="29"/>
  <c r="D14" i="29"/>
  <c r="B18" i="23"/>
  <c r="C17" i="23"/>
  <c r="B17" i="23"/>
  <c r="A14" i="23"/>
  <c r="A16" i="23"/>
  <c r="C14" i="23"/>
  <c r="C16" i="23"/>
  <c r="B15" i="23"/>
  <c r="G25" i="4"/>
  <c r="U16" i="4"/>
  <c r="I48" i="4"/>
  <c r="I35" i="4"/>
  <c r="I37" i="4"/>
  <c r="I39" i="4"/>
  <c r="C21" i="3"/>
  <c r="G40" i="4"/>
  <c r="F22" i="17" s="1"/>
  <c r="I43" i="4"/>
  <c r="G51" i="4"/>
  <c r="H9" i="5" s="1"/>
  <c r="I22" i="4"/>
  <c r="I24" i="4" s="1"/>
  <c r="I7" i="5"/>
  <c r="I44" i="4"/>
  <c r="G18" i="4"/>
  <c r="F45" i="17" s="1"/>
  <c r="F25" i="33"/>
  <c r="F18" i="4"/>
  <c r="E45" i="17" s="1"/>
  <c r="F24" i="33"/>
  <c r="E18" i="4"/>
  <c r="I18" i="4" s="1"/>
  <c r="F23" i="33"/>
  <c r="G23" i="33" s="1"/>
  <c r="E40" i="4"/>
  <c r="D22" i="17" s="1"/>
  <c r="G71" i="26"/>
  <c r="G74" i="26" s="1"/>
  <c r="G80" i="26" s="1"/>
  <c r="O69" i="26" s="1"/>
  <c r="O78" i="26" s="1"/>
  <c r="O70" i="26" s="1"/>
  <c r="V63" i="4"/>
  <c r="U14" i="4"/>
  <c r="I71" i="26" s="1"/>
  <c r="I76" i="26" s="1"/>
  <c r="I82" i="26" s="1"/>
  <c r="F51" i="4"/>
  <c r="F51" i="27" s="1"/>
  <c r="I16" i="4"/>
  <c r="I14" i="4"/>
  <c r="E43" i="17"/>
  <c r="G43" i="17" s="1"/>
  <c r="I36" i="4"/>
  <c r="V68" i="4"/>
  <c r="V72" i="4"/>
  <c r="I19" i="26"/>
  <c r="K5" i="4" s="1"/>
  <c r="U63" i="4"/>
  <c r="J45" i="9"/>
  <c r="H17" i="9"/>
  <c r="J44" i="9"/>
  <c r="J42" i="9"/>
  <c r="J38" i="9"/>
  <c r="J40" i="9"/>
  <c r="P65" i="4"/>
  <c r="M76" i="4"/>
  <c r="C57" i="8"/>
  <c r="C58" i="9"/>
  <c r="P76" i="4"/>
  <c r="C47" i="8"/>
  <c r="C77" i="8"/>
  <c r="C78" i="8"/>
  <c r="C44" i="8"/>
  <c r="C43" i="8"/>
  <c r="C40" i="8"/>
  <c r="C64" i="9"/>
  <c r="C42" i="8"/>
  <c r="C8" i="19"/>
  <c r="C26" i="19"/>
  <c r="C62" i="9"/>
  <c r="P15" i="4"/>
  <c r="C57" i="9"/>
  <c r="K35" i="4"/>
  <c r="K46" i="4"/>
  <c r="N35" i="4"/>
  <c r="Q35" i="4"/>
  <c r="S35" i="4" s="1"/>
  <c r="N46" i="4"/>
  <c r="Q46" i="4"/>
  <c r="S46" i="4" s="1"/>
  <c r="K48" i="4"/>
  <c r="N48" i="4"/>
  <c r="N37" i="4"/>
  <c r="K37" i="4"/>
  <c r="Q37" i="4"/>
  <c r="S37" i="4" s="1"/>
  <c r="Q48" i="4"/>
  <c r="S48" i="4" s="1"/>
  <c r="N7" i="5"/>
  <c r="U73" i="4"/>
  <c r="T59" i="27"/>
  <c r="T61" i="27" s="1"/>
  <c r="N11" i="5"/>
  <c r="N33" i="4"/>
  <c r="Q44" i="4"/>
  <c r="S44" i="4" s="1"/>
  <c r="N44" i="4"/>
  <c r="Q33" i="4"/>
  <c r="S33" i="4" s="1"/>
  <c r="K33" i="4"/>
  <c r="K44" i="4"/>
  <c r="G26" i="17"/>
  <c r="E39" i="20"/>
  <c r="F23" i="13"/>
  <c r="F22" i="13" s="1"/>
  <c r="J23" i="13"/>
  <c r="J22" i="13" s="1"/>
  <c r="U75" i="4"/>
  <c r="I45" i="4"/>
  <c r="E48" i="9"/>
  <c r="E45" i="9"/>
  <c r="Q39" i="19"/>
  <c r="B60" i="19" s="1"/>
  <c r="C69" i="8"/>
  <c r="K39" i="4"/>
  <c r="Q50" i="4"/>
  <c r="S50" i="4" s="1"/>
  <c r="Q39" i="4"/>
  <c r="N50" i="4"/>
  <c r="N39" i="4"/>
  <c r="K50" i="4"/>
  <c r="I58" i="4" l="1"/>
  <c r="U37" i="33"/>
  <c r="V37" i="33" s="1"/>
  <c r="U23" i="33"/>
  <c r="V23" i="33" s="1"/>
  <c r="U30" i="33"/>
  <c r="V30" i="33" s="1"/>
  <c r="Q37" i="33"/>
  <c r="Q44" i="33"/>
  <c r="Q30" i="33"/>
  <c r="Q23" i="33"/>
  <c r="E44" i="9"/>
  <c r="E46" i="9"/>
  <c r="B17" i="9"/>
  <c r="E43" i="9"/>
  <c r="D39" i="13"/>
  <c r="E39" i="13" s="1"/>
  <c r="F39" i="13" s="1"/>
  <c r="G39" i="13" s="1"/>
  <c r="H39" i="13" s="1"/>
  <c r="I39" i="13" s="1"/>
  <c r="J39" i="13" s="1"/>
  <c r="K39" i="13" s="1"/>
  <c r="L39" i="13" s="1"/>
  <c r="M39" i="13" s="1"/>
  <c r="I39" i="34"/>
  <c r="V71" i="4"/>
  <c r="G5" i="30"/>
  <c r="G6" i="30" s="1"/>
  <c r="R44" i="33"/>
  <c r="J41" i="8"/>
  <c r="J43" i="8"/>
  <c r="E70" i="4" s="1"/>
  <c r="J45" i="8"/>
  <c r="J40" i="8"/>
  <c r="J42" i="8"/>
  <c r="J44" i="8"/>
  <c r="J39" i="8"/>
  <c r="J33" i="8"/>
  <c r="J35" i="8"/>
  <c r="J37" i="8"/>
  <c r="J32" i="8"/>
  <c r="J34" i="8"/>
  <c r="J36" i="8"/>
  <c r="J38" i="8"/>
  <c r="D55" i="8"/>
  <c r="D57" i="8"/>
  <c r="D59" i="8"/>
  <c r="E61" i="4" s="1"/>
  <c r="D54" i="8"/>
  <c r="D56" i="8"/>
  <c r="D58" i="8"/>
  <c r="D53" i="8"/>
  <c r="AI30" i="7"/>
  <c r="B18" i="8"/>
  <c r="B10" i="25" s="1"/>
  <c r="C50" i="8"/>
  <c r="C52" i="8"/>
  <c r="S76" i="4"/>
  <c r="S65" i="4"/>
  <c r="V57" i="4"/>
  <c r="I68" i="4"/>
  <c r="F76" i="4"/>
  <c r="F65" i="4"/>
  <c r="F23" i="4" s="1"/>
  <c r="F25" i="4" s="1"/>
  <c r="I57" i="4"/>
  <c r="F7" i="25"/>
  <c r="B21" i="25" s="1"/>
  <c r="H16" i="8"/>
  <c r="I70" i="4"/>
  <c r="B9" i="25"/>
  <c r="I61" i="4"/>
  <c r="C39" i="9"/>
  <c r="C41" i="9"/>
  <c r="C40" i="9"/>
  <c r="V60" i="4"/>
  <c r="C27" i="8"/>
  <c r="C28" i="8"/>
  <c r="C26" i="8"/>
  <c r="C29" i="8"/>
  <c r="C30" i="8"/>
  <c r="C30" i="9"/>
  <c r="C27" i="9"/>
  <c r="C28" i="9"/>
  <c r="C26" i="9"/>
  <c r="C29" i="9"/>
  <c r="C51" i="8"/>
  <c r="C49" i="8"/>
  <c r="C48" i="8"/>
  <c r="M65" i="4"/>
  <c r="G23" i="30"/>
  <c r="M39" i="33"/>
  <c r="M38" i="33"/>
  <c r="M44" i="33"/>
  <c r="M37" i="33"/>
  <c r="M45" i="33"/>
  <c r="M46" i="33"/>
  <c r="C23" i="30"/>
  <c r="O43" i="4"/>
  <c r="P43" i="4" s="1"/>
  <c r="O44" i="4"/>
  <c r="P44" i="4" s="1"/>
  <c r="O46" i="4"/>
  <c r="P46" i="4" s="1"/>
  <c r="O48" i="4"/>
  <c r="P48" i="4" s="1"/>
  <c r="O50" i="4"/>
  <c r="P50" i="4" s="1"/>
  <c r="O45" i="4"/>
  <c r="P45" i="4" s="1"/>
  <c r="O47" i="4"/>
  <c r="P47" i="4" s="1"/>
  <c r="O49" i="4"/>
  <c r="P69" i="26"/>
  <c r="P78" i="26" s="1"/>
  <c r="P70" i="26" s="1"/>
  <c r="P71" i="26" s="1"/>
  <c r="L49" i="4"/>
  <c r="L48" i="4"/>
  <c r="L45" i="4"/>
  <c r="L47" i="4"/>
  <c r="L43" i="4"/>
  <c r="L46" i="4"/>
  <c r="L50" i="4"/>
  <c r="L44" i="4"/>
  <c r="I32" i="33"/>
  <c r="K32" i="33" s="1"/>
  <c r="M32" i="33" s="1"/>
  <c r="I30" i="33"/>
  <c r="K30" i="33" s="1"/>
  <c r="I31" i="33"/>
  <c r="K31" i="33" s="1"/>
  <c r="M31" i="33" s="1"/>
  <c r="T69" i="26"/>
  <c r="D45" i="17"/>
  <c r="G45" i="17" s="1"/>
  <c r="F9" i="5"/>
  <c r="N26" i="33"/>
  <c r="C7" i="30"/>
  <c r="C5" i="30"/>
  <c r="C6" i="30" s="1"/>
  <c r="R30" i="33"/>
  <c r="R37" i="33"/>
  <c r="I23" i="33"/>
  <c r="K23" i="33" s="1"/>
  <c r="I25" i="33"/>
  <c r="I24" i="33"/>
  <c r="K24" i="33" s="1"/>
  <c r="M24" i="33" s="1"/>
  <c r="I51" i="4"/>
  <c r="D71" i="5" s="1"/>
  <c r="G23" i="3"/>
  <c r="I40" i="4"/>
  <c r="D70" i="5" s="1"/>
  <c r="G22" i="17"/>
  <c r="G76" i="26"/>
  <c r="G82" i="26" s="1"/>
  <c r="N69" i="26" s="1"/>
  <c r="K25" i="33"/>
  <c r="M25" i="33" s="1"/>
  <c r="I60" i="4"/>
  <c r="G76" i="4"/>
  <c r="I74" i="26"/>
  <c r="I80" i="26" s="1"/>
  <c r="I59" i="4"/>
  <c r="V76" i="4"/>
  <c r="C71" i="5" s="1"/>
  <c r="G65" i="4"/>
  <c r="G9" i="5"/>
  <c r="J51" i="9"/>
  <c r="J54" i="9"/>
  <c r="J53" i="9"/>
  <c r="J49" i="9"/>
  <c r="J50" i="9"/>
  <c r="J52" i="9"/>
  <c r="H18" i="9"/>
  <c r="M46" i="4"/>
  <c r="U46" i="4"/>
  <c r="M48" i="4"/>
  <c r="U48" i="4"/>
  <c r="T70" i="26"/>
  <c r="O71" i="26"/>
  <c r="U44" i="4"/>
  <c r="M44" i="4"/>
  <c r="K38" i="4"/>
  <c r="Q49" i="4"/>
  <c r="S49" i="4" s="1"/>
  <c r="S51" i="4" s="1"/>
  <c r="N38" i="4"/>
  <c r="K49" i="4"/>
  <c r="N49" i="4"/>
  <c r="P49" i="4" s="1"/>
  <c r="Q38" i="4"/>
  <c r="S38" i="4" s="1"/>
  <c r="S39" i="4"/>
  <c r="M9" i="5"/>
  <c r="U50" i="4"/>
  <c r="M50" i="4"/>
  <c r="G7" i="30" l="1"/>
  <c r="G9" i="30"/>
  <c r="M23" i="33"/>
  <c r="N23" i="33" s="1"/>
  <c r="C25" i="30" s="1"/>
  <c r="F64" i="5" s="1"/>
  <c r="M30" i="33"/>
  <c r="N30" i="33" s="1"/>
  <c r="O30" i="33" s="1"/>
  <c r="E69" i="4"/>
  <c r="I69" i="4" s="1"/>
  <c r="E49" i="9"/>
  <c r="E50" i="9"/>
  <c r="E51" i="9"/>
  <c r="E53" i="9"/>
  <c r="E52" i="9"/>
  <c r="E54" i="9"/>
  <c r="B18" i="9"/>
  <c r="B19" i="8"/>
  <c r="D63" i="8"/>
  <c r="J52" i="8"/>
  <c r="J50" i="8"/>
  <c r="E71" i="4" s="1"/>
  <c r="I71" i="4" s="1"/>
  <c r="J48" i="8"/>
  <c r="J46" i="8"/>
  <c r="J51" i="8"/>
  <c r="J49" i="8"/>
  <c r="J47" i="8"/>
  <c r="D69" i="8"/>
  <c r="D71" i="8"/>
  <c r="D73" i="8"/>
  <c r="E63" i="4" s="1"/>
  <c r="I63" i="4" s="1"/>
  <c r="D68" i="8"/>
  <c r="D70" i="8"/>
  <c r="D72" i="8"/>
  <c r="D67" i="8"/>
  <c r="D61" i="8"/>
  <c r="D65" i="8"/>
  <c r="D60" i="8"/>
  <c r="D62" i="8"/>
  <c r="D64" i="8"/>
  <c r="D66" i="8"/>
  <c r="E62" i="4" s="1"/>
  <c r="I62" i="4" s="1"/>
  <c r="H17" i="8"/>
  <c r="F8" i="25"/>
  <c r="B22" i="25" s="1"/>
  <c r="U69" i="26"/>
  <c r="U70" i="26"/>
  <c r="I9" i="5"/>
  <c r="N44" i="33"/>
  <c r="O44" i="33" s="1"/>
  <c r="B11" i="25"/>
  <c r="B20" i="8"/>
  <c r="V48" i="4"/>
  <c r="V46" i="4"/>
  <c r="V44" i="4"/>
  <c r="O32" i="4"/>
  <c r="P32" i="4" s="1"/>
  <c r="O33" i="4"/>
  <c r="P33" i="4" s="1"/>
  <c r="O35" i="4"/>
  <c r="P35" i="4" s="1"/>
  <c r="O37" i="4"/>
  <c r="P37" i="4" s="1"/>
  <c r="O39" i="4"/>
  <c r="P39" i="4" s="1"/>
  <c r="O34" i="4"/>
  <c r="P34" i="4" s="1"/>
  <c r="O36" i="4"/>
  <c r="P36" i="4" s="1"/>
  <c r="O38" i="4"/>
  <c r="P38" i="4" s="1"/>
  <c r="Q69" i="26"/>
  <c r="Q78" i="26" s="1"/>
  <c r="L36" i="4"/>
  <c r="L38" i="4"/>
  <c r="L37" i="4"/>
  <c r="L34" i="4"/>
  <c r="L35" i="4"/>
  <c r="L32" i="4"/>
  <c r="L33" i="4"/>
  <c r="L39" i="4"/>
  <c r="U43" i="4"/>
  <c r="M43" i="4"/>
  <c r="V43" i="4" s="1"/>
  <c r="U45" i="4"/>
  <c r="M45" i="4"/>
  <c r="V45" i="4" s="1"/>
  <c r="K9" i="5"/>
  <c r="L30" i="33"/>
  <c r="M47" i="4"/>
  <c r="V47" i="4" s="1"/>
  <c r="U47" i="4"/>
  <c r="N37" i="33"/>
  <c r="O37" i="33" s="1"/>
  <c r="V65" i="4"/>
  <c r="C70" i="5" s="1"/>
  <c r="R23" i="33"/>
  <c r="C9" i="30" s="1"/>
  <c r="L23" i="33"/>
  <c r="N78" i="26"/>
  <c r="S69" i="26"/>
  <c r="J60" i="9"/>
  <c r="J58" i="9"/>
  <c r="J56" i="9"/>
  <c r="J57" i="9"/>
  <c r="J55" i="9"/>
  <c r="J59" i="9"/>
  <c r="H19" i="9"/>
  <c r="S40" i="4"/>
  <c r="U71" i="26"/>
  <c r="P72" i="26"/>
  <c r="M38" i="4"/>
  <c r="U38" i="4"/>
  <c r="P51" i="4"/>
  <c r="O72" i="26"/>
  <c r="T71" i="26"/>
  <c r="U49" i="4"/>
  <c r="M49" i="4"/>
  <c r="V49" i="4" s="1"/>
  <c r="V50" i="4"/>
  <c r="C65" i="13"/>
  <c r="C68" i="13"/>
  <c r="F55" i="5" l="1"/>
  <c r="E58" i="9"/>
  <c r="E55" i="9"/>
  <c r="E60" i="9"/>
  <c r="B19" i="9"/>
  <c r="E59" i="9"/>
  <c r="E57" i="9"/>
  <c r="E56" i="9"/>
  <c r="D31" i="13"/>
  <c r="E31" i="13" s="1"/>
  <c r="F31" i="13" s="1"/>
  <c r="G31" i="13" s="1"/>
  <c r="H31" i="13" s="1"/>
  <c r="I31" i="13" s="1"/>
  <c r="J31" i="13" s="1"/>
  <c r="K31" i="13" s="1"/>
  <c r="L31" i="13" s="1"/>
  <c r="M31" i="13" s="1"/>
  <c r="C40" i="34"/>
  <c r="J55" i="8"/>
  <c r="J57" i="8"/>
  <c r="J59" i="8"/>
  <c r="J54" i="8"/>
  <c r="J56" i="8"/>
  <c r="J58" i="8"/>
  <c r="J53" i="8"/>
  <c r="D75" i="8"/>
  <c r="D77" i="8"/>
  <c r="D79" i="8"/>
  <c r="D74" i="8"/>
  <c r="D76" i="8"/>
  <c r="D78" i="8"/>
  <c r="D80" i="8"/>
  <c r="E64" i="4" s="1"/>
  <c r="I64" i="4" s="1"/>
  <c r="I65" i="4" s="1"/>
  <c r="F9" i="25"/>
  <c r="B23" i="25" s="1"/>
  <c r="H18" i="8"/>
  <c r="B12" i="25"/>
  <c r="Q70" i="26"/>
  <c r="V70" i="26" s="1"/>
  <c r="V69" i="26"/>
  <c r="G25" i="30"/>
  <c r="V38" i="4"/>
  <c r="L9" i="5"/>
  <c r="N9" i="5" s="1"/>
  <c r="I40" i="34" s="1"/>
  <c r="P40" i="4"/>
  <c r="U33" i="4"/>
  <c r="M33" i="4"/>
  <c r="V33" i="4" s="1"/>
  <c r="U35" i="4"/>
  <c r="M35" i="4"/>
  <c r="V35" i="4" s="1"/>
  <c r="M37" i="4"/>
  <c r="V37" i="4" s="1"/>
  <c r="U37" i="4"/>
  <c r="U36" i="4"/>
  <c r="M36" i="4"/>
  <c r="V36" i="4" s="1"/>
  <c r="U39" i="4"/>
  <c r="M39" i="4"/>
  <c r="V39" i="4" s="1"/>
  <c r="U32" i="4"/>
  <c r="M32" i="4"/>
  <c r="V32" i="4" s="1"/>
  <c r="M34" i="4"/>
  <c r="V34" i="4" s="1"/>
  <c r="U34" i="4"/>
  <c r="O23" i="33"/>
  <c r="C27" i="30" s="1"/>
  <c r="N75" i="26"/>
  <c r="S75" i="26" s="1"/>
  <c r="N70" i="26"/>
  <c r="Q71" i="26"/>
  <c r="J64" i="9"/>
  <c r="J61" i="9"/>
  <c r="J66" i="9"/>
  <c r="H20" i="9"/>
  <c r="J62" i="9"/>
  <c r="J65" i="9"/>
  <c r="J63" i="9"/>
  <c r="M51" i="4"/>
  <c r="U72" i="26"/>
  <c r="P73" i="26"/>
  <c r="T72" i="26"/>
  <c r="O73" i="26"/>
  <c r="V51" i="4"/>
  <c r="E72" i="4" l="1"/>
  <c r="I72" i="4" s="1"/>
  <c r="E65" i="9"/>
  <c r="E64" i="9"/>
  <c r="B20" i="9"/>
  <c r="E61" i="9"/>
  <c r="E63" i="9"/>
  <c r="E66" i="9"/>
  <c r="E62" i="9"/>
  <c r="D38" i="13"/>
  <c r="E38" i="13" s="1"/>
  <c r="F38" i="13" s="1"/>
  <c r="G38" i="13" s="1"/>
  <c r="H38" i="13" s="1"/>
  <c r="I38" i="13" s="1"/>
  <c r="J38" i="13" s="1"/>
  <c r="K38" i="13" s="1"/>
  <c r="L38" i="13" s="1"/>
  <c r="M38" i="13" s="1"/>
  <c r="J61" i="8"/>
  <c r="J63" i="8"/>
  <c r="J65" i="8"/>
  <c r="J60" i="8"/>
  <c r="J62" i="8"/>
  <c r="J64" i="8"/>
  <c r="E73" i="4" s="1"/>
  <c r="I73" i="4" s="1"/>
  <c r="J66" i="8"/>
  <c r="E70" i="5"/>
  <c r="F10" i="25"/>
  <c r="B24" i="25" s="1"/>
  <c r="H19" i="8"/>
  <c r="E65" i="4"/>
  <c r="V40" i="4"/>
  <c r="B70" i="5" s="1"/>
  <c r="G25" i="3"/>
  <c r="G29" i="3" s="1"/>
  <c r="M40" i="4"/>
  <c r="N71" i="26"/>
  <c r="S70" i="26"/>
  <c r="Q72" i="26"/>
  <c r="V71" i="26"/>
  <c r="J71" i="9"/>
  <c r="J69" i="9"/>
  <c r="J68" i="9"/>
  <c r="J70" i="9"/>
  <c r="J67" i="9"/>
  <c r="J72" i="9"/>
  <c r="B71" i="5"/>
  <c r="U73" i="26"/>
  <c r="P74" i="26"/>
  <c r="T73" i="26"/>
  <c r="O74" i="26"/>
  <c r="E68" i="9" l="1"/>
  <c r="E70" i="9"/>
  <c r="E71" i="9"/>
  <c r="E72" i="9"/>
  <c r="E69" i="9"/>
  <c r="E67" i="9"/>
  <c r="J69" i="8"/>
  <c r="J71" i="8"/>
  <c r="J73" i="8"/>
  <c r="J68" i="8"/>
  <c r="J70" i="8"/>
  <c r="J72" i="8"/>
  <c r="J67" i="8"/>
  <c r="E23" i="4"/>
  <c r="I23" i="4" s="1"/>
  <c r="F61" i="5" s="1"/>
  <c r="F11" i="25"/>
  <c r="B25" i="25" s="1"/>
  <c r="H20" i="8"/>
  <c r="G12" i="17"/>
  <c r="C25" i="13"/>
  <c r="C27" i="13" s="1"/>
  <c r="C17" i="13"/>
  <c r="F47" i="5"/>
  <c r="F54" i="5" s="1"/>
  <c r="N72" i="26"/>
  <c r="S71" i="26"/>
  <c r="Q73" i="26"/>
  <c r="V72" i="26"/>
  <c r="U74" i="26"/>
  <c r="P75" i="26"/>
  <c r="U75" i="26" s="1"/>
  <c r="O75" i="26"/>
  <c r="T75" i="26" s="1"/>
  <c r="T74" i="26"/>
  <c r="E74" i="4" l="1"/>
  <c r="I74" i="4" s="1"/>
  <c r="J75" i="8"/>
  <c r="J77" i="8"/>
  <c r="J79" i="8"/>
  <c r="J74" i="8"/>
  <c r="J76" i="8"/>
  <c r="J78" i="8"/>
  <c r="E75" i="4" s="1"/>
  <c r="J80" i="8"/>
  <c r="E25" i="4"/>
  <c r="I25" i="4" s="1"/>
  <c r="D46" i="18"/>
  <c r="D53" i="18" s="1"/>
  <c r="F12" i="25"/>
  <c r="D4" i="18"/>
  <c r="C16" i="13"/>
  <c r="D46" i="13"/>
  <c r="E46" i="13" s="1"/>
  <c r="F46" i="13" s="1"/>
  <c r="G46" i="13" s="1"/>
  <c r="H46" i="13" s="1"/>
  <c r="C18" i="13"/>
  <c r="N73" i="26"/>
  <c r="S72" i="26"/>
  <c r="Q74" i="26"/>
  <c r="V73" i="26"/>
  <c r="I75" i="4" l="1"/>
  <c r="I76" i="4" s="1"/>
  <c r="E71" i="5" s="1"/>
  <c r="E76" i="4"/>
  <c r="C63" i="13"/>
  <c r="C54" i="13"/>
  <c r="N74" i="26"/>
  <c r="S74" i="26" s="1"/>
  <c r="S73" i="26"/>
  <c r="V74" i="26"/>
  <c r="Q75" i="26"/>
  <c r="V75" i="26" s="1"/>
  <c r="C56" i="13" l="1"/>
  <c r="C57" i="13" s="1"/>
  <c r="C77" i="13"/>
  <c r="C78" i="13" s="1"/>
  <c r="Z80" i="7" l="1"/>
  <c r="AA23" i="7"/>
  <c r="Z86" i="7"/>
  <c r="Y109" i="7" s="1"/>
  <c r="Z84" i="7"/>
  <c r="Y107" i="7" s="1"/>
  <c r="Z85" i="7"/>
  <c r="Y108" i="7" s="1"/>
  <c r="C18" i="5" l="1"/>
  <c r="C21" i="5"/>
  <c r="C32" i="5" s="1"/>
  <c r="C25" i="5"/>
  <c r="C36" i="5" s="1"/>
  <c r="Z21" i="7"/>
  <c r="C19" i="5"/>
  <c r="C30" i="5" s="1"/>
  <c r="C23" i="5"/>
  <c r="C34" i="5" s="1"/>
  <c r="G4" i="17"/>
  <c r="F29" i="17" s="1"/>
  <c r="Y80" i="7"/>
  <c r="Z89" i="7" s="1"/>
  <c r="Y112" i="7" s="1"/>
  <c r="AC91" i="7"/>
  <c r="G6" i="17" s="1"/>
  <c r="AB91" i="7"/>
  <c r="AC93" i="7" s="1"/>
  <c r="Y105" i="7" s="1"/>
  <c r="C29" i="5"/>
  <c r="D13" i="1"/>
  <c r="G70" i="5"/>
  <c r="C24" i="5"/>
  <c r="C35" i="5" s="1"/>
  <c r="C22" i="5"/>
  <c r="C33" i="5" s="1"/>
  <c r="C20" i="5"/>
  <c r="C31" i="5" s="1"/>
  <c r="Z88" i="7" l="1"/>
  <c r="Y111" i="7" s="1"/>
  <c r="AC94" i="7"/>
  <c r="Y106" i="7" s="1"/>
  <c r="AB23" i="7"/>
  <c r="D19" i="5"/>
  <c r="D30" i="5" s="1"/>
  <c r="D23" i="5"/>
  <c r="D34" i="5" s="1"/>
  <c r="D24" i="5"/>
  <c r="D35" i="5" s="1"/>
  <c r="D15" i="1"/>
  <c r="Y103" i="7"/>
  <c r="Y102" i="7"/>
  <c r="Y25" i="7" s="1"/>
  <c r="Z87" i="7"/>
  <c r="Y110" i="7" s="1"/>
  <c r="Y21" i="7"/>
  <c r="AC92" i="7"/>
  <c r="Y104" i="7" s="1"/>
  <c r="D21" i="5"/>
  <c r="D32" i="5" s="1"/>
  <c r="D20" i="5"/>
  <c r="D31" i="5" s="1"/>
  <c r="D25" i="5"/>
  <c r="D36" i="5" s="1"/>
  <c r="G71" i="5"/>
  <c r="L71" i="5" s="1"/>
  <c r="T71" i="5" s="1"/>
  <c r="D18" i="5"/>
  <c r="D29" i="5" s="1"/>
  <c r="D22" i="5"/>
  <c r="D33" i="5" s="1"/>
  <c r="AC23" i="7"/>
  <c r="E28" i="17"/>
  <c r="D28" i="17"/>
  <c r="D29" i="17"/>
  <c r="F28" i="17"/>
  <c r="E29" i="17"/>
  <c r="C37" i="5"/>
  <c r="I70" i="5"/>
  <c r="Q70" i="5" s="1"/>
  <c r="J70" i="5"/>
  <c r="R70" i="5" s="1"/>
  <c r="L70" i="5"/>
  <c r="T70" i="5" s="1"/>
  <c r="K70" i="5"/>
  <c r="S70" i="5" s="1"/>
  <c r="C26" i="5"/>
  <c r="D8" i="18"/>
  <c r="I29" i="34" l="1"/>
  <c r="C29" i="34"/>
  <c r="D6" i="18"/>
  <c r="H11" i="5"/>
  <c r="G11" i="5"/>
  <c r="F11" i="5"/>
  <c r="J71" i="5"/>
  <c r="R71" i="5" s="1"/>
  <c r="I71" i="5"/>
  <c r="Q71" i="5" s="1"/>
  <c r="L4" i="20"/>
  <c r="L3" i="20"/>
  <c r="K71" i="5"/>
  <c r="S71" i="5" s="1"/>
  <c r="T73" i="5" s="1"/>
  <c r="L8" i="20"/>
  <c r="L7" i="20"/>
  <c r="Y26" i="7"/>
  <c r="L5" i="20"/>
  <c r="L6" i="20"/>
  <c r="D37" i="5"/>
  <c r="G29" i="17"/>
  <c r="G28" i="17"/>
  <c r="D26" i="5"/>
  <c r="F35" i="17"/>
  <c r="F37" i="17" s="1"/>
  <c r="E35" i="17"/>
  <c r="E37" i="17" s="1"/>
  <c r="D35" i="17"/>
  <c r="E31" i="17"/>
  <c r="E33" i="17" s="1"/>
  <c r="C64" i="13"/>
  <c r="D31" i="17"/>
  <c r="F31" i="17"/>
  <c r="F33" i="17" s="1"/>
  <c r="C11" i="29" l="1"/>
  <c r="C30" i="34"/>
  <c r="I30" i="34"/>
  <c r="R73" i="5"/>
  <c r="T75" i="5" s="1"/>
  <c r="F56" i="5" s="1"/>
  <c r="I11" i="5"/>
  <c r="C39" i="5"/>
  <c r="F11" i="29"/>
  <c r="F14" i="29" s="1"/>
  <c r="D47" i="17"/>
  <c r="D49" i="17" s="1"/>
  <c r="F47" i="17"/>
  <c r="F63" i="17" s="1"/>
  <c r="E47" i="17"/>
  <c r="E63" i="17" s="1"/>
  <c r="N43" i="5"/>
  <c r="E51" i="17"/>
  <c r="E67" i="17" s="1"/>
  <c r="K26" i="5"/>
  <c r="I37" i="34" s="1"/>
  <c r="K37" i="5"/>
  <c r="I38" i="34" s="1"/>
  <c r="C12" i="29"/>
  <c r="C15" i="29" s="1"/>
  <c r="F37" i="5"/>
  <c r="I43" i="5"/>
  <c r="F58" i="5" s="1"/>
  <c r="D31" i="18" s="1"/>
  <c r="F51" i="17"/>
  <c r="F67" i="17" s="1"/>
  <c r="D51" i="17"/>
  <c r="D53" i="17" s="1"/>
  <c r="F26" i="5"/>
  <c r="F12" i="29"/>
  <c r="H12" i="29" s="1"/>
  <c r="J12" i="29" s="1"/>
  <c r="E39" i="17"/>
  <c r="C66" i="13"/>
  <c r="C67" i="13" s="1"/>
  <c r="C70" i="13"/>
  <c r="D33" i="17"/>
  <c r="G33" i="17" s="1"/>
  <c r="G31" i="17"/>
  <c r="D37" i="17"/>
  <c r="G35" i="17"/>
  <c r="F39" i="17"/>
  <c r="I31" i="34" l="1"/>
  <c r="C31" i="34"/>
  <c r="D32" i="13"/>
  <c r="E32" i="13" s="1"/>
  <c r="F32" i="13" s="1"/>
  <c r="G32" i="13" s="1"/>
  <c r="H32" i="13" s="1"/>
  <c r="I32" i="13" s="1"/>
  <c r="J32" i="13" s="1"/>
  <c r="K32" i="13" s="1"/>
  <c r="L32" i="13" s="1"/>
  <c r="M32" i="13" s="1"/>
  <c r="C39" i="34"/>
  <c r="D29" i="13"/>
  <c r="E29" i="13" s="1"/>
  <c r="C37" i="34"/>
  <c r="D30" i="13"/>
  <c r="E30" i="13" s="1"/>
  <c r="F30" i="13" s="1"/>
  <c r="G30" i="13" s="1"/>
  <c r="H30" i="13" s="1"/>
  <c r="I30" i="13" s="1"/>
  <c r="J30" i="13" s="1"/>
  <c r="K30" i="13" s="1"/>
  <c r="L30" i="13" s="1"/>
  <c r="M30" i="13" s="1"/>
  <c r="C38" i="34"/>
  <c r="E53" i="17"/>
  <c r="E69" i="17" s="1"/>
  <c r="D63" i="17"/>
  <c r="G63" i="17" s="1"/>
  <c r="E49" i="17"/>
  <c r="E65" i="17" s="1"/>
  <c r="F49" i="17"/>
  <c r="F65" i="17" s="1"/>
  <c r="H11" i="29"/>
  <c r="J11" i="29" s="1"/>
  <c r="F50" i="5"/>
  <c r="G47" i="17"/>
  <c r="G51" i="17"/>
  <c r="N41" i="5"/>
  <c r="I41" i="34" s="1"/>
  <c r="F15" i="29"/>
  <c r="H15" i="29" s="1"/>
  <c r="J15" i="29" s="1"/>
  <c r="D67" i="17"/>
  <c r="G67" i="17" s="1"/>
  <c r="F49" i="5"/>
  <c r="D20" i="18" s="1"/>
  <c r="F53" i="17"/>
  <c r="G53" i="17" s="1"/>
  <c r="D36" i="13"/>
  <c r="E36" i="13" s="1"/>
  <c r="F36" i="13" s="1"/>
  <c r="G36" i="13" s="1"/>
  <c r="H36" i="13" s="1"/>
  <c r="I36" i="13" s="1"/>
  <c r="J36" i="13" s="1"/>
  <c r="K36" i="13" s="1"/>
  <c r="L36" i="13" s="1"/>
  <c r="M36" i="13" s="1"/>
  <c r="D35" i="13"/>
  <c r="E35" i="13" s="1"/>
  <c r="I41" i="5"/>
  <c r="C41" i="34" s="1"/>
  <c r="G57" i="5"/>
  <c r="D39" i="17"/>
  <c r="G39" i="17" s="1"/>
  <c r="G37" i="17"/>
  <c r="D65" i="17"/>
  <c r="D55" i="17"/>
  <c r="D69" i="17"/>
  <c r="F29" i="13"/>
  <c r="E33" i="13" l="1"/>
  <c r="D33" i="13"/>
  <c r="J11" i="18"/>
  <c r="J17" i="18" s="1"/>
  <c r="F63" i="5"/>
  <c r="E55" i="17"/>
  <c r="G49" i="17"/>
  <c r="G65" i="17"/>
  <c r="F69" i="17"/>
  <c r="G69" i="17" s="1"/>
  <c r="F52" i="5"/>
  <c r="D22" i="18" s="1"/>
  <c r="D27" i="18" s="1"/>
  <c r="F55" i="17"/>
  <c r="D11" i="18"/>
  <c r="D17" i="18" s="1"/>
  <c r="F53" i="5"/>
  <c r="D23" i="18" s="1"/>
  <c r="F35" i="13"/>
  <c r="F33" i="13"/>
  <c r="G29" i="13"/>
  <c r="D33" i="18" l="1"/>
  <c r="D36" i="18" s="1"/>
  <c r="J14" i="18"/>
  <c r="D29" i="18"/>
  <c r="D40" i="18"/>
  <c r="F62" i="5"/>
  <c r="V79" i="4" s="1"/>
  <c r="D37" i="13"/>
  <c r="D40" i="13" s="1"/>
  <c r="D42" i="13" s="1"/>
  <c r="D48" i="13" s="1"/>
  <c r="D51" i="13" s="1"/>
  <c r="D53" i="13" s="1"/>
  <c r="D54" i="13" s="1"/>
  <c r="D56" i="13" s="1"/>
  <c r="D57" i="13" s="1"/>
  <c r="F59" i="5"/>
  <c r="F60" i="5" s="1"/>
  <c r="G55" i="17"/>
  <c r="V78" i="4"/>
  <c r="D14" i="18"/>
  <c r="D25" i="18"/>
  <c r="G35" i="13"/>
  <c r="G33" i="13"/>
  <c r="H29" i="13"/>
  <c r="D34" i="18" l="1"/>
  <c r="D38" i="18"/>
  <c r="C49" i="34"/>
  <c r="C46" i="34"/>
  <c r="C45" i="34"/>
  <c r="C32" i="34"/>
  <c r="C33" i="34" s="1"/>
  <c r="C47" i="34"/>
  <c r="C14" i="29"/>
  <c r="H14" i="29" s="1"/>
  <c r="J14" i="29" s="1"/>
  <c r="D77" i="13"/>
  <c r="D78" i="13" s="1"/>
  <c r="D80" i="13" s="1"/>
  <c r="E37" i="13"/>
  <c r="F37" i="13" s="1"/>
  <c r="G37" i="13" s="1"/>
  <c r="H37" i="13" s="1"/>
  <c r="I37" i="13" s="1"/>
  <c r="J37" i="13" s="1"/>
  <c r="K37" i="13" s="1"/>
  <c r="L37" i="13" s="1"/>
  <c r="M37" i="13" s="1"/>
  <c r="I29" i="13"/>
  <c r="H33" i="13"/>
  <c r="H35" i="13"/>
  <c r="C48" i="34" l="1"/>
  <c r="E40" i="13"/>
  <c r="E42" i="13" s="1"/>
  <c r="E48" i="13" s="1"/>
  <c r="E51" i="13" s="1"/>
  <c r="E53" i="13" s="1"/>
  <c r="E54" i="13" s="1"/>
  <c r="E56" i="13" s="1"/>
  <c r="E57" i="13" s="1"/>
  <c r="G40" i="13"/>
  <c r="G42" i="13" s="1"/>
  <c r="G48" i="13" s="1"/>
  <c r="G51" i="13" s="1"/>
  <c r="G53" i="13" s="1"/>
  <c r="G54" i="13" s="1"/>
  <c r="F40" i="13"/>
  <c r="F42" i="13" s="1"/>
  <c r="F48" i="13" s="1"/>
  <c r="F51" i="13" s="1"/>
  <c r="F53" i="13" s="1"/>
  <c r="F54" i="13" s="1"/>
  <c r="F77" i="13" s="1"/>
  <c r="D79" i="13"/>
  <c r="H40" i="13"/>
  <c r="H42" i="13" s="1"/>
  <c r="H48" i="13" s="1"/>
  <c r="I35" i="13"/>
  <c r="J29" i="13"/>
  <c r="I33" i="13"/>
  <c r="F56" i="13" l="1"/>
  <c r="F57" i="13" s="1"/>
  <c r="E77" i="13"/>
  <c r="E78" i="13" s="1"/>
  <c r="E80" i="13" s="1"/>
  <c r="G56" i="13"/>
  <c r="G77" i="13"/>
  <c r="H51" i="13"/>
  <c r="H53" i="13" s="1"/>
  <c r="H54" i="13" s="1"/>
  <c r="K29" i="13"/>
  <c r="J33" i="13"/>
  <c r="J35" i="13"/>
  <c r="I40" i="13"/>
  <c r="I42" i="13" s="1"/>
  <c r="I48" i="13" s="1"/>
  <c r="F78" i="13"/>
  <c r="F79" i="13" s="1"/>
  <c r="G57" i="13" l="1"/>
  <c r="E79" i="13"/>
  <c r="F80" i="13"/>
  <c r="I51" i="13"/>
  <c r="I53" i="13" s="1"/>
  <c r="I54" i="13" s="1"/>
  <c r="G78" i="13"/>
  <c r="G80" i="13" s="1"/>
  <c r="K35" i="13"/>
  <c r="J40" i="13"/>
  <c r="J42" i="13" s="1"/>
  <c r="J48" i="13" s="1"/>
  <c r="L29" i="13"/>
  <c r="K33" i="13"/>
  <c r="H77" i="13"/>
  <c r="H56" i="13"/>
  <c r="H57" i="13" s="1"/>
  <c r="J51" i="13" l="1"/>
  <c r="J53" i="13" s="1"/>
  <c r="J54" i="13" s="1"/>
  <c r="I56" i="13"/>
  <c r="I57" i="13" s="1"/>
  <c r="I77" i="13"/>
  <c r="K40" i="13"/>
  <c r="K42" i="13" s="1"/>
  <c r="K48" i="13" s="1"/>
  <c r="L35" i="13"/>
  <c r="H78" i="13"/>
  <c r="H79" i="13" s="1"/>
  <c r="M29" i="13"/>
  <c r="M33" i="13" s="1"/>
  <c r="L33" i="13"/>
  <c r="G79" i="13"/>
  <c r="H80" i="13" l="1"/>
  <c r="J56" i="13"/>
  <c r="J57" i="13" s="1"/>
  <c r="J77" i="13"/>
  <c r="K51" i="13"/>
  <c r="K53" i="13" s="1"/>
  <c r="K54" i="13" s="1"/>
  <c r="L40" i="13"/>
  <c r="L42" i="13" s="1"/>
  <c r="L48" i="13" s="1"/>
  <c r="M35" i="13"/>
  <c r="M40" i="13" s="1"/>
  <c r="M42" i="13" s="1"/>
  <c r="M48" i="13" s="1"/>
  <c r="I78" i="13"/>
  <c r="I79" i="13" s="1"/>
  <c r="I80" i="13" l="1"/>
  <c r="M51" i="13"/>
  <c r="M53" i="13" s="1"/>
  <c r="M54" i="13" s="1"/>
  <c r="L51" i="13"/>
  <c r="L53" i="13" s="1"/>
  <c r="L54" i="13" s="1"/>
  <c r="K56" i="13"/>
  <c r="K57" i="13" s="1"/>
  <c r="K77" i="13"/>
  <c r="J78" i="13"/>
  <c r="J80" i="13" s="1"/>
  <c r="K78" i="13" l="1"/>
  <c r="K80" i="13" s="1"/>
  <c r="L56" i="13"/>
  <c r="L57" i="13" s="1"/>
  <c r="L77" i="13"/>
  <c r="M56" i="13"/>
  <c r="M77" i="13"/>
  <c r="C61" i="13"/>
  <c r="J79" i="13"/>
  <c r="M57" i="13" l="1"/>
  <c r="L78" i="13"/>
  <c r="L79" i="13" s="1"/>
  <c r="K79" i="13"/>
  <c r="L80" i="13" l="1"/>
  <c r="M78" i="13"/>
  <c r="M80" i="13" s="1"/>
  <c r="M79" i="13" l="1"/>
  <c r="C80" i="13" s="1"/>
  <c r="C59" i="13" s="1"/>
</calcChain>
</file>

<file path=xl/comments1.xml><?xml version="1.0" encoding="utf-8"?>
<comments xmlns="http://schemas.openxmlformats.org/spreadsheetml/2006/main">
  <authors>
    <author>igino</author>
  </authors>
  <commentList>
    <comment ref="B10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20= temperatura sotto la quale le ghp si fermano in estate
Tp= temperatura di progetto</t>
        </r>
      </text>
    </comment>
    <comment ref="C101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B10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</commentList>
</comments>
</file>

<file path=xl/comments2.xml><?xml version="1.0" encoding="utf-8"?>
<comments xmlns="http://schemas.openxmlformats.org/spreadsheetml/2006/main">
  <authors>
    <author>igino</author>
  </authors>
  <commentList>
    <comment ref="B7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18= temperatura sopra la quale le ghp si fermano in inverno
Tp= temperatura di progetto</t>
        </r>
      </text>
    </comment>
    <comment ref="C71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B7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</commentList>
</comments>
</file>

<file path=xl/comments3.xml><?xml version="1.0" encoding="utf-8"?>
<comments xmlns="http://schemas.openxmlformats.org/spreadsheetml/2006/main">
  <authors>
    <author>igino</author>
  </authors>
  <commentList>
    <comment ref="B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20= temperatura sotto la quale le ghp si fermano in estate
Tp= temperatura di progetto</t>
        </r>
      </text>
    </comment>
    <comment ref="F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18= temperatura sopra la quale le ghp si fermano in inverno
Tp= temperatura di progetto</t>
        </r>
      </text>
    </comment>
    <comment ref="C3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G3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B4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  <comment ref="F4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</commentList>
</comments>
</file>

<file path=xl/comments4.xml><?xml version="1.0" encoding="utf-8"?>
<comments xmlns="http://schemas.openxmlformats.org/spreadsheetml/2006/main">
  <authors>
    <author>igino</author>
  </authors>
  <commentList>
    <comment ref="B1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20= temperatura sotto la quale le ghp si fermano in estate
Tp= temperatura di progetto</t>
        </r>
      </text>
    </comment>
    <comment ref="H1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18= temperatura sopra la quale le ghp si fermano in inverno
Tp= temperatura di progetto</t>
        </r>
      </text>
    </comment>
    <comment ref="O1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C1 = consumo alla T prima di quella più alta)</t>
        </r>
      </text>
    </comment>
    <comment ref="C11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I11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M11" authorId="0">
      <text>
        <r>
          <rPr>
            <b/>
            <sz val="8"/>
            <color indexed="81"/>
            <rFont val="Tahoma"/>
            <family val="2"/>
          </rPr>
          <t xml:space="preserve">igino:
</t>
        </r>
        <r>
          <rPr>
            <sz val="8"/>
            <color indexed="81"/>
            <rFont val="Tahoma"/>
            <family val="2"/>
          </rPr>
          <t>Valore del consumo da ricercare x la temperatura trovata</t>
        </r>
      </text>
    </comment>
    <comment ref="N11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Consumo alla T più bassa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Tdata= Temperatura Tn ottenuta</t>
        </r>
      </text>
    </comment>
    <comment ref="B1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  <comment ref="H1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  <comment ref="O1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T1 = Valore T più basso della Tn trovata
T0 = valore T più altro della Tn trovata</t>
        </r>
      </text>
    </comment>
  </commentList>
</comments>
</file>

<file path=xl/comments5.xml><?xml version="1.0" encoding="utf-8"?>
<comments xmlns="http://schemas.openxmlformats.org/spreadsheetml/2006/main">
  <authors>
    <author>igino</author>
  </authors>
  <commentList>
    <comment ref="B1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20= temperatura sotto la quale le ghp si fermano in estate
Tp= temperatura di progetto</t>
        </r>
      </text>
    </comment>
    <comment ref="H1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18= temperatura sopra la quale le ghp si fermano in inverno
Tp= temperatura di progetto</t>
        </r>
      </text>
    </comment>
    <comment ref="O10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C1 = consumo alla T prima di quella più alta)</t>
        </r>
      </text>
    </comment>
    <comment ref="C11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I11" authorId="0">
      <text>
        <r>
          <rPr>
            <b/>
            <sz val="8"/>
            <color indexed="81"/>
            <rFont val="Tahoma"/>
            <family val="2"/>
          </rPr>
          <t>igino:
°C da sottrarre alla Tp per trovare l'intervallo della T°C per calcolare il consumo di gas</t>
        </r>
      </text>
    </comment>
    <comment ref="M11" authorId="0">
      <text>
        <r>
          <rPr>
            <b/>
            <sz val="8"/>
            <color indexed="81"/>
            <rFont val="Tahoma"/>
            <family val="2"/>
          </rPr>
          <t xml:space="preserve">igino:
</t>
        </r>
        <r>
          <rPr>
            <sz val="8"/>
            <color indexed="81"/>
            <rFont val="Tahoma"/>
            <family val="2"/>
          </rPr>
          <t>Valore del consumo da ricercare x la temperatura trovata</t>
        </r>
      </text>
    </comment>
    <comment ref="N11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Consumo alla T più bassa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Tdata= Temperatura Tn ottenuta</t>
        </r>
      </text>
    </comment>
    <comment ref="B1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  <comment ref="H1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6= sono gli intervalli tra le varie Tn corrispondenti alla % di parzializzazione fino alla T=18</t>
        </r>
      </text>
    </comment>
    <comment ref="O12" authorId="0">
      <text>
        <r>
          <rPr>
            <b/>
            <sz val="8"/>
            <color indexed="81"/>
            <rFont val="Tahoma"/>
            <family val="2"/>
          </rPr>
          <t>igino:</t>
        </r>
        <r>
          <rPr>
            <sz val="8"/>
            <color indexed="81"/>
            <rFont val="Tahoma"/>
            <family val="2"/>
          </rPr>
          <t xml:space="preserve">
T1 = Valore T più basso della Tn trovata
T0 = valore T più altro della Tn trovata</t>
        </r>
      </text>
    </comment>
  </commentList>
</comments>
</file>

<file path=xl/comments6.xml><?xml version="1.0" encoding="utf-8"?>
<comments xmlns="http://schemas.openxmlformats.org/spreadsheetml/2006/main">
  <authors>
    <author>Andrea Zagaglia</author>
  </authors>
  <commentList>
    <comment ref="O22" authorId="0">
      <text>
        <r>
          <rPr>
            <sz val="9"/>
            <color indexed="81"/>
            <rFont val="Tahoma"/>
            <family val="2"/>
          </rPr>
          <t>Totale incentivo Conto Termico 2.0 (in 2 o 5 anni)</t>
        </r>
      </text>
    </comment>
    <comment ref="R22" authorId="0">
      <text>
        <r>
          <rPr>
            <sz val="9"/>
            <color indexed="81"/>
            <rFont val="Tahoma"/>
            <family val="2"/>
          </rPr>
          <t>Totale detrazioni ECOBONUS (in 10 anni)</t>
        </r>
      </text>
    </comment>
    <comment ref="V22" authorId="0">
      <text>
        <r>
          <rPr>
            <sz val="9"/>
            <color indexed="81"/>
            <rFont val="Tahoma"/>
            <family val="2"/>
          </rPr>
          <t>Totale detrazioni SUPERBONUS (in 5 anni)</t>
        </r>
      </text>
    </comment>
    <comment ref="O29" authorId="0">
      <text>
        <r>
          <rPr>
            <sz val="9"/>
            <color indexed="81"/>
            <rFont val="Tahoma"/>
            <family val="2"/>
          </rPr>
          <t>Totale incentivo Conto Termico 2.0 (in 2 o 5 anni)</t>
        </r>
      </text>
    </comment>
    <comment ref="R29" authorId="0">
      <text>
        <r>
          <rPr>
            <sz val="9"/>
            <color indexed="81"/>
            <rFont val="Tahoma"/>
            <family val="2"/>
          </rPr>
          <t>Totale detrazioni ECOBONUS (in 10 anni)</t>
        </r>
      </text>
    </comment>
    <comment ref="V29" authorId="0">
      <text>
        <r>
          <rPr>
            <sz val="9"/>
            <color indexed="81"/>
            <rFont val="Tahoma"/>
            <family val="2"/>
          </rPr>
          <t>Totale detrazioni SUPERBONUS (in 5 anni)</t>
        </r>
      </text>
    </comment>
    <comment ref="O36" authorId="0">
      <text>
        <r>
          <rPr>
            <sz val="9"/>
            <color indexed="81"/>
            <rFont val="Tahoma"/>
            <family val="2"/>
          </rPr>
          <t>Totale incentivo Conto Termico 2.0 (in 2 o 5 anni)</t>
        </r>
      </text>
    </comment>
    <comment ref="R36" authorId="0">
      <text>
        <r>
          <rPr>
            <sz val="9"/>
            <color indexed="81"/>
            <rFont val="Tahoma"/>
            <family val="2"/>
          </rPr>
          <t>Totale detrazioni ECOBONUS (in 10 anni)</t>
        </r>
      </text>
    </comment>
    <comment ref="V36" authorId="0">
      <text>
        <r>
          <rPr>
            <sz val="9"/>
            <color indexed="81"/>
            <rFont val="Tahoma"/>
            <family val="2"/>
          </rPr>
          <t>Totale detrazioni SUPERBONUS (in 5 anni)</t>
        </r>
      </text>
    </comment>
    <comment ref="O43" authorId="0">
      <text>
        <r>
          <rPr>
            <sz val="9"/>
            <color indexed="81"/>
            <rFont val="Tahoma"/>
            <family val="2"/>
          </rPr>
          <t>Totale incentivo Conto Termico 2.0 (in 2 o 5 anni)</t>
        </r>
      </text>
    </comment>
    <comment ref="R43" authorId="0">
      <text>
        <r>
          <rPr>
            <sz val="9"/>
            <color indexed="81"/>
            <rFont val="Tahoma"/>
            <family val="2"/>
          </rPr>
          <t>Totale detrazioni ECOBONUS (in 10 anni)</t>
        </r>
      </text>
    </comment>
    <comment ref="V43" authorId="0">
      <text>
        <r>
          <rPr>
            <sz val="9"/>
            <color indexed="81"/>
            <rFont val="Tahoma"/>
            <family val="2"/>
          </rPr>
          <t>Totale detrazioni SUPERBONUS (in 5 anni)</t>
        </r>
      </text>
    </comment>
  </commentList>
</comments>
</file>

<file path=xl/comments7.xml><?xml version="1.0" encoding="utf-8"?>
<comments xmlns="http://schemas.openxmlformats.org/spreadsheetml/2006/main">
  <authors>
    <author>xp</author>
  </authors>
  <commentList>
    <comment ref="B6" authorId="0">
      <text>
        <r>
          <rPr>
            <b/>
            <sz val="14"/>
            <color indexed="81"/>
            <rFont val="Tahoma"/>
            <family val="2"/>
          </rPr>
          <t xml:space="preserve">xp:
</t>
        </r>
        <r>
          <rPr>
            <sz val="14"/>
            <color indexed="81"/>
            <rFont val="Tahoma"/>
            <family val="2"/>
          </rPr>
          <t>ore di funzionamento annuo</t>
        </r>
      </text>
    </comment>
    <comment ref="B8" authorId="0">
      <text>
        <r>
          <rPr>
            <b/>
            <sz val="14"/>
            <color indexed="81"/>
            <rFont val="Tahoma"/>
            <family val="2"/>
          </rPr>
          <t>xp:</t>
        </r>
        <r>
          <rPr>
            <sz val="14"/>
            <color indexed="81"/>
            <rFont val="Tahoma"/>
            <family val="2"/>
          </rPr>
          <t xml:space="preserve">
giorni di funzionamento annuo</t>
        </r>
      </text>
    </comment>
    <comment ref="B55" authorId="0">
      <text>
        <r>
          <rPr>
            <b/>
            <sz val="14"/>
            <color indexed="81"/>
            <rFont val="Tahoma"/>
            <family val="2"/>
          </rPr>
          <t>xp:</t>
        </r>
        <r>
          <rPr>
            <sz val="14"/>
            <color indexed="81"/>
            <rFont val="Tahoma"/>
            <family val="2"/>
          </rPr>
          <t xml:space="preserve">
costo del kg di GPL</t>
        </r>
      </text>
    </comment>
    <comment ref="B57" authorId="0">
      <text>
        <r>
          <rPr>
            <b/>
            <sz val="14"/>
            <color indexed="81"/>
            <rFont val="Tahoma"/>
            <family val="2"/>
          </rPr>
          <t>xp:</t>
        </r>
        <r>
          <rPr>
            <sz val="14"/>
            <color indexed="81"/>
            <rFont val="Tahoma"/>
            <family val="2"/>
          </rPr>
          <t xml:space="preserve">
costo del kg di GPL</t>
        </r>
      </text>
    </comment>
    <comment ref="B61" authorId="0">
      <text>
        <r>
          <rPr>
            <b/>
            <sz val="14"/>
            <color indexed="81"/>
            <rFont val="Tahoma"/>
            <family val="2"/>
          </rPr>
          <t>xp:</t>
        </r>
        <r>
          <rPr>
            <sz val="14"/>
            <color indexed="81"/>
            <rFont val="Tahoma"/>
            <family val="2"/>
          </rPr>
          <t xml:space="preserve">
costo dell'impianto di GPL</t>
        </r>
      </text>
    </comment>
    <comment ref="B63" authorId="0">
      <text>
        <r>
          <rPr>
            <b/>
            <sz val="14"/>
            <color indexed="81"/>
            <rFont val="Tahoma"/>
            <family val="2"/>
          </rPr>
          <t>xp:</t>
        </r>
        <r>
          <rPr>
            <sz val="14"/>
            <color indexed="81"/>
            <rFont val="Tahoma"/>
            <family val="2"/>
          </rPr>
          <t xml:space="preserve">
tempo di ammortamento dell'impianto di GPL</t>
        </r>
      </text>
    </comment>
  </commentList>
</comments>
</file>

<file path=xl/sharedStrings.xml><?xml version="1.0" encoding="utf-8"?>
<sst xmlns="http://schemas.openxmlformats.org/spreadsheetml/2006/main" count="1616" uniqueCount="749">
  <si>
    <t>Costo gas</t>
  </si>
  <si>
    <t>kg/h</t>
  </si>
  <si>
    <t>Ghp</t>
  </si>
  <si>
    <t>Listino</t>
  </si>
  <si>
    <t>AISIN</t>
  </si>
  <si>
    <t>Rumorosità</t>
  </si>
  <si>
    <t>kW</t>
  </si>
  <si>
    <t>db</t>
  </si>
  <si>
    <t>Consumo gas in freddo</t>
  </si>
  <si>
    <t>kw</t>
  </si>
  <si>
    <t>dB</t>
  </si>
  <si>
    <t>Consumo gas in caldo</t>
  </si>
  <si>
    <t>Resa in caldo a - 5°C Totale</t>
  </si>
  <si>
    <t>€</t>
  </si>
  <si>
    <t>Costi manutenzione</t>
  </si>
  <si>
    <t>%</t>
  </si>
  <si>
    <t>Costo per aumento contatore</t>
  </si>
  <si>
    <t>Anni</t>
  </si>
  <si>
    <t>Tabella_Tipo_gas</t>
  </si>
  <si>
    <t>Tabella_Tipo_Impianto</t>
  </si>
  <si>
    <t>Tabella_caratteristiche_Ghp</t>
  </si>
  <si>
    <t>Rif. Tipo Impianto</t>
  </si>
  <si>
    <t>Rif. Costo Gas</t>
  </si>
  <si>
    <t>Rif. Kit recupero sanitario</t>
  </si>
  <si>
    <t>Rif. Descrizione</t>
  </si>
  <si>
    <t>Costo per cabina elettrica</t>
  </si>
  <si>
    <t>Espansione Diretta</t>
  </si>
  <si>
    <t>Aria/Acqua</t>
  </si>
  <si>
    <t>Chiller/Caldaia</t>
  </si>
  <si>
    <t>Assorbimento</t>
  </si>
  <si>
    <t>Prezzo imp. concorrente conosciuto ?</t>
  </si>
  <si>
    <t>m3/h</t>
  </si>
  <si>
    <t>Rif. Prezzo impianti conosciuto</t>
  </si>
  <si>
    <t>Rif. Dimensionamento EHP impianto per l'inverno</t>
  </si>
  <si>
    <t>orario</t>
  </si>
  <si>
    <t>sab</t>
  </si>
  <si>
    <t>dom</t>
  </si>
  <si>
    <t>lun - ven</t>
  </si>
  <si>
    <t>mese</t>
  </si>
  <si>
    <t>Estate</t>
  </si>
  <si>
    <t>Capacità in Freddo</t>
  </si>
  <si>
    <t>Capacità in Caldo</t>
  </si>
  <si>
    <t>Assorb. Elett. in freddo</t>
  </si>
  <si>
    <t>Assorb. Elett. in caldo</t>
  </si>
  <si>
    <t>°C</t>
  </si>
  <si>
    <t>% di carico</t>
  </si>
  <si>
    <t>Ore funzionamento</t>
  </si>
  <si>
    <t>Raffrescamento</t>
  </si>
  <si>
    <t>Consumo</t>
  </si>
  <si>
    <t>Consumo totale</t>
  </si>
  <si>
    <t>Riscaldamento</t>
  </si>
  <si>
    <t>Totale concumi</t>
  </si>
  <si>
    <t>Totale costi</t>
  </si>
  <si>
    <t>m3</t>
  </si>
  <si>
    <t>hp</t>
  </si>
  <si>
    <t>Kw</t>
  </si>
  <si>
    <t>18 - Tp</t>
  </si>
  <si>
    <t>Tp - ∆°C</t>
  </si>
  <si>
    <r>
      <t xml:space="preserve">Tn </t>
    </r>
    <r>
      <rPr>
        <vertAlign val="superscript"/>
        <sz val="6"/>
        <rFont val="Times New Roman"/>
        <family val="1"/>
      </rPr>
      <t>(1,2,3,4,5,6 )</t>
    </r>
    <r>
      <rPr>
        <sz val="12"/>
        <rFont val="Times New Roman"/>
        <family val="1"/>
      </rPr>
      <t>=</t>
    </r>
  </si>
  <si>
    <r>
      <t>=    ∆</t>
    </r>
    <r>
      <rPr>
        <sz val="12"/>
        <rFont val="Times New Roman"/>
        <family val="1"/>
      </rPr>
      <t>°C    =</t>
    </r>
  </si>
  <si>
    <t>T1</t>
  </si>
  <si>
    <t>T2</t>
  </si>
  <si>
    <t>T3</t>
  </si>
  <si>
    <t>T4</t>
  </si>
  <si>
    <t>T5</t>
  </si>
  <si>
    <t>T6</t>
  </si>
  <si>
    <t>Tp</t>
  </si>
  <si>
    <t>T7</t>
  </si>
  <si>
    <t>INVERNO</t>
  </si>
  <si>
    <t>ESTATE</t>
  </si>
  <si>
    <t>20 - Tp</t>
  </si>
  <si>
    <t>TOT.</t>
  </si>
  <si>
    <t>ore</t>
  </si>
  <si>
    <t>Cdata  =</t>
  </si>
  <si>
    <r>
      <t>C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 xml:space="preserve"> +</t>
    </r>
  </si>
  <si>
    <r>
      <t>(C</t>
    </r>
    <r>
      <rPr>
        <vertAlign val="sub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- C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>)</t>
    </r>
  </si>
  <si>
    <r>
      <t>(T</t>
    </r>
    <r>
      <rPr>
        <vertAlign val="sub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- T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>)</t>
    </r>
  </si>
  <si>
    <r>
      <t>x (T</t>
    </r>
    <r>
      <rPr>
        <vertAlign val="subscript"/>
        <sz val="12"/>
        <rFont val="Times New Roman"/>
        <family val="1"/>
      </rPr>
      <t>data</t>
    </r>
    <r>
      <rPr>
        <sz val="12"/>
        <rFont val="Times New Roman"/>
        <family val="1"/>
      </rPr>
      <t xml:space="preserve"> - T</t>
    </r>
    <r>
      <rPr>
        <vertAlign val="subscript"/>
        <sz val="12"/>
        <rFont val="Times New Roman"/>
        <family val="1"/>
      </rPr>
      <t>0</t>
    </r>
    <r>
      <rPr>
        <sz val="12"/>
        <rFont val="Times New Roman"/>
        <family val="1"/>
      </rPr>
      <t>)</t>
    </r>
  </si>
  <si>
    <t>inverno</t>
  </si>
  <si>
    <t>Capacità KW</t>
  </si>
  <si>
    <t>Ton.</t>
  </si>
  <si>
    <t>Lt</t>
  </si>
  <si>
    <t>SCELTA DI FINANZIAMENTO</t>
  </si>
  <si>
    <t>1 - Acquisto diretto</t>
  </si>
  <si>
    <t>2 - Leasing finanziario 5 anni</t>
  </si>
  <si>
    <t>3 - Leasing finanziario 7 anni</t>
  </si>
  <si>
    <t>Seleziona finanziamento</t>
  </si>
  <si>
    <t>Importo</t>
  </si>
  <si>
    <t xml:space="preserve">Spese pratica </t>
  </si>
  <si>
    <t>Canone anticipato</t>
  </si>
  <si>
    <t>Importo finanziato</t>
  </si>
  <si>
    <t>Rata
mensile</t>
  </si>
  <si>
    <t>Riscatto %</t>
  </si>
  <si>
    <t>Costo annuo</t>
  </si>
  <si>
    <t>Data iniziale</t>
  </si>
  <si>
    <t>Riscatto</t>
  </si>
  <si>
    <t>Dilazione 
fornitore (gg)</t>
  </si>
  <si>
    <t>Metodo di
calcolo</t>
  </si>
  <si>
    <t>PIANO DI AMMORTAMENTO</t>
  </si>
  <si>
    <t>RICERCA OBIETTIVO:</t>
  </si>
  <si>
    <t>CELLA VALORE (GOAL)</t>
  </si>
  <si>
    <t>E6</t>
  </si>
  <si>
    <t>Finito</t>
  </si>
  <si>
    <t>Euribor 3M</t>
  </si>
  <si>
    <t>CELLA VARIA</t>
  </si>
  <si>
    <t>B5</t>
  </si>
  <si>
    <t>Tasso annuo:</t>
  </si>
  <si>
    <t>Base:</t>
  </si>
  <si>
    <t>Spread:</t>
  </si>
  <si>
    <t>CELLA CALCOLO</t>
  </si>
  <si>
    <t>G73</t>
  </si>
  <si>
    <t>Data pagam.</t>
  </si>
  <si>
    <t>Giorni</t>
  </si>
  <si>
    <t>Rata</t>
  </si>
  <si>
    <t>Q. interessi</t>
  </si>
  <si>
    <t>Q. capitale</t>
  </si>
  <si>
    <t>Debito residuo</t>
  </si>
  <si>
    <t>WACC</t>
  </si>
  <si>
    <t>Dilazione fornitore</t>
  </si>
  <si>
    <t>gg</t>
  </si>
  <si>
    <t>Metodo di
 calcolo</t>
  </si>
  <si>
    <t xml:space="preserve">Rata leasing 5 anni </t>
  </si>
  <si>
    <t xml:space="preserve">Rata leasing 7 anni </t>
  </si>
  <si>
    <t>Anno</t>
  </si>
  <si>
    <t>Project financing</t>
  </si>
  <si>
    <t>Fabbisogno finanziario totale</t>
  </si>
  <si>
    <t>da capitale proprio</t>
  </si>
  <si>
    <t>da finanziamento</t>
  </si>
  <si>
    <t>Restituzione rata finanziamento</t>
  </si>
  <si>
    <t>restituzione quota interessi</t>
  </si>
  <si>
    <t>restituzione quota capitale</t>
  </si>
  <si>
    <t>Investimenti evitati</t>
  </si>
  <si>
    <t>Consumo combustibile</t>
  </si>
  <si>
    <t>Canone di manutenzione</t>
  </si>
  <si>
    <t>Costi operativi</t>
  </si>
  <si>
    <t>Energia elettrica non acquistata da utility</t>
  </si>
  <si>
    <t>RICAVI</t>
  </si>
  <si>
    <t>Durata ammortamento</t>
  </si>
  <si>
    <t>Rata leasing</t>
  </si>
  <si>
    <t>Ammortamento UPS evitato</t>
  </si>
  <si>
    <t>EBIT</t>
  </si>
  <si>
    <t>Interessi</t>
  </si>
  <si>
    <t>Imponibile fiscale</t>
  </si>
  <si>
    <t>Tax rate %</t>
  </si>
  <si>
    <t>Imposte / (minori imposte)</t>
  </si>
  <si>
    <t>CASH FLOW DOPO LE IMPOSTE</t>
  </si>
  <si>
    <t>Tasso di attualizzazione</t>
  </si>
  <si>
    <t>Cash flow attualizzato</t>
  </si>
  <si>
    <t>Cash flow attualizzato e cumulato</t>
  </si>
  <si>
    <t>PAY BACK SEMPLICE (Anni)</t>
  </si>
  <si>
    <t>TIR (10 Anni)</t>
  </si>
  <si>
    <t>Costo complessivo investimento</t>
  </si>
  <si>
    <t>Anni di funzionamento impianto</t>
  </si>
  <si>
    <t>Ore anno di funzionamento</t>
  </si>
  <si>
    <t>Costo orario manutenzione (€)</t>
  </si>
  <si>
    <t>Costo manutenzione per Kwh prodotto (€)</t>
  </si>
  <si>
    <t>Calcolo del Payback Semplice</t>
  </si>
  <si>
    <t>Incidenza % debito</t>
  </si>
  <si>
    <t>Incidenza % mezzi propri</t>
  </si>
  <si>
    <t>G97</t>
  </si>
  <si>
    <t>Aumento contatore elettrico</t>
  </si>
  <si>
    <t>Acquisto Cabina di trasformazione</t>
  </si>
  <si>
    <t>Consumo elettricità</t>
  </si>
  <si>
    <t>Costo fisso canone annuo contatore evitato</t>
  </si>
  <si>
    <t>Energia termica non acquistata per caldaia</t>
  </si>
  <si>
    <t>Energia termica non acquistata per ACS</t>
  </si>
  <si>
    <t>Costo fisso canone annuo contatore</t>
  </si>
  <si>
    <t>Ammortamento differenza costo con AISIN</t>
  </si>
  <si>
    <r>
      <t>Ki</t>
    </r>
    <r>
      <rPr>
        <sz val="10"/>
        <rFont val="Arial"/>
        <family val="2"/>
      </rPr>
      <t xml:space="preserve"> = costo del capitale di debito</t>
    </r>
  </si>
  <si>
    <r>
      <t>t</t>
    </r>
    <r>
      <rPr>
        <sz val="10"/>
        <rFont val="Arial"/>
        <family val="2"/>
      </rPr>
      <t xml:space="preserve"> = aliquota d'imposta</t>
    </r>
  </si>
  <si>
    <r>
      <t>Ke =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costo del capitale proprio</t>
    </r>
  </si>
  <si>
    <t>Produzione frigorifera annua (Kw/f/h)</t>
  </si>
  <si>
    <t>Produzione frigorifera a tutta vita (Kw/f/h)</t>
  </si>
  <si>
    <t>Costo AISIN per Kwh frigorifero prodotto (€)</t>
  </si>
  <si>
    <t>Simulazione Leasing Finanziario 5 Anni</t>
  </si>
  <si>
    <t>Simulazione Leasing Finanziario 7 Anni</t>
  </si>
  <si>
    <t>RISPARMIO</t>
  </si>
  <si>
    <t>Canone di manutenzione impianto concorrente</t>
  </si>
  <si>
    <t>Tipologia Impianto</t>
  </si>
  <si>
    <t>Tipologia unità esterne</t>
  </si>
  <si>
    <t>Quantità unità esterne</t>
  </si>
  <si>
    <t>Ore funzionamento estate</t>
  </si>
  <si>
    <t>Ore funzionamento inverno</t>
  </si>
  <si>
    <t>Costo elettricità medio (F1-F2)</t>
  </si>
  <si>
    <t>Capacità frigorifera totale a 35°C</t>
  </si>
  <si>
    <t>Capacità termica totale a 7°C</t>
  </si>
  <si>
    <t>Capacità termica totale a - 5°C</t>
  </si>
  <si>
    <t>Recupero estivo ACS</t>
  </si>
  <si>
    <t>Assorbimento elettrico max</t>
  </si>
  <si>
    <t>Totale consumo gas annuo</t>
  </si>
  <si>
    <t>Totale consumo elettrico annuo</t>
  </si>
  <si>
    <t>RAFFRESCAMENTO</t>
  </si>
  <si>
    <t>TOTALE COSTI IN RAFFRESCAMENTO</t>
  </si>
  <si>
    <t>RISCALDAMENTO</t>
  </si>
  <si>
    <t>Consumo gas periodo in riscaldamento</t>
  </si>
  <si>
    <t>Consumo gas periodo in raffrescamento</t>
  </si>
  <si>
    <t>Consumo elettrico periodo in raffrescamento</t>
  </si>
  <si>
    <t>Consumo elettrico periodo in riscaldamento</t>
  </si>
  <si>
    <t>TOTALE COSTI IN RISCALDAMENTO</t>
  </si>
  <si>
    <t>Totale costi consumo elettrico annuo</t>
  </si>
  <si>
    <t>Costo per consumo gas periodo in riscaldamento</t>
  </si>
  <si>
    <t>Costo per consumo elettrico periodo in riscaldamento</t>
  </si>
  <si>
    <t>Totale costi per consumo gas annuo</t>
  </si>
  <si>
    <t>Costo pe consumo gas periodo in raffrescamento</t>
  </si>
  <si>
    <t>Costo per consumo elettricità periodo in raffrescamento</t>
  </si>
  <si>
    <t>lt/h</t>
  </si>
  <si>
    <t>kWh</t>
  </si>
  <si>
    <t>- Riepilogo -</t>
  </si>
  <si>
    <t>cent € / m3</t>
  </si>
  <si>
    <t>cent € / kg</t>
  </si>
  <si>
    <t>ANALISI ANNUA</t>
  </si>
  <si>
    <t>cent € / kWh</t>
  </si>
  <si>
    <t>€ / kW</t>
  </si>
  <si>
    <t>kg</t>
  </si>
  <si>
    <t>h</t>
  </si>
  <si>
    <t>Modello</t>
  </si>
  <si>
    <t>Curca di carico</t>
  </si>
  <si>
    <t>% di parzializzazione</t>
  </si>
  <si>
    <t>Temp esterna (bulbo secco)</t>
  </si>
  <si>
    <t>Temp esterna (bulbo umido)</t>
  </si>
  <si>
    <t>Modalità inserimento dati</t>
  </si>
  <si>
    <t>VRV DAIKIN</t>
  </si>
  <si>
    <t>ECONCEPT 51</t>
  </si>
  <si>
    <t>ECONCEPT TECH 25C</t>
  </si>
  <si>
    <t>ECONCEPT TECH 35C</t>
  </si>
  <si>
    <t>Assorb. Elett. Max</t>
  </si>
  <si>
    <t>Capacità Min</t>
  </si>
  <si>
    <t>Capacità Max</t>
  </si>
  <si>
    <t>Assorb. Elett. Min</t>
  </si>
  <si>
    <t>Consumo Max gas</t>
  </si>
  <si>
    <t>Consumo Min gas</t>
  </si>
  <si>
    <t>CALDAIA 26,6 kW</t>
  </si>
  <si>
    <t>CALDAIA 36,4 kW</t>
  </si>
  <si>
    <t>CALDAIA 13 HP</t>
  </si>
  <si>
    <t>CALDAIA 53 kW</t>
  </si>
  <si>
    <t>CALDAIA 63 kW</t>
  </si>
  <si>
    <t>CALDAIA 79,5 kW</t>
  </si>
  <si>
    <t>CALDAIA</t>
  </si>
  <si>
    <t>LNG</t>
  </si>
  <si>
    <t>GPL</t>
  </si>
  <si>
    <t>Curva di carico</t>
  </si>
  <si>
    <t>F</t>
  </si>
  <si>
    <t>G</t>
  </si>
  <si>
    <t>H</t>
  </si>
  <si>
    <t>I</t>
  </si>
  <si>
    <t>J</t>
  </si>
  <si>
    <t>K</t>
  </si>
  <si>
    <t xml:space="preserve">RIDOTTI DI UN 10% </t>
  </si>
  <si>
    <t>RISPETTO QUELLI PRECEDENTI</t>
  </si>
  <si>
    <t>ENERGY TOP B80</t>
  </si>
  <si>
    <t>Costi orari manutenzione</t>
  </si>
  <si>
    <r>
      <t>€</t>
    </r>
    <r>
      <rPr>
        <sz val="12"/>
        <rFont val="Times New Roman"/>
        <family val="1"/>
      </rPr>
      <t>/h</t>
    </r>
  </si>
  <si>
    <t>CALDAIA 45,6 HP</t>
  </si>
  <si>
    <t>13hp=ECONCEPT TECH 18C+25C</t>
  </si>
  <si>
    <t>20hp = ECONCEPT TECH 25C+35C</t>
  </si>
  <si>
    <t>CHILLER 26,6 kW</t>
  </si>
  <si>
    <t>CHILLER</t>
  </si>
  <si>
    <t>CHILLER 090 ANL</t>
  </si>
  <si>
    <t>CHILLER 100 ANL</t>
  </si>
  <si>
    <t>CHILLER 150 ANL</t>
  </si>
  <si>
    <t>CHILLER 200 ANL</t>
  </si>
  <si>
    <t>CHILLER 280 RNL</t>
  </si>
  <si>
    <t>CHILLER 330 RNL</t>
  </si>
  <si>
    <t>CHILLER 350 RNL</t>
  </si>
  <si>
    <t>CHILLER 550 RNL</t>
  </si>
  <si>
    <t>CHILLER 650 RNL</t>
  </si>
  <si>
    <t>CHILLER 22,3 kW</t>
  </si>
  <si>
    <t>CHILLER 33 HP</t>
  </si>
  <si>
    <t>CHILLER 43 HP</t>
  </si>
  <si>
    <t>CHILLER 53 kW</t>
  </si>
  <si>
    <t>CHILLER 68 kW</t>
  </si>
  <si>
    <t>CHILLER 81 kW</t>
  </si>
  <si>
    <t>CHILLER 93 kW</t>
  </si>
  <si>
    <t>CHILLER 127 kW</t>
  </si>
  <si>
    <t>Dimensionamento impianto inverno</t>
  </si>
  <si>
    <t>Tipologia impianto</t>
  </si>
  <si>
    <t>VRV 8hp</t>
  </si>
  <si>
    <t>VRV 10hp</t>
  </si>
  <si>
    <t>VRV 12hp</t>
  </si>
  <si>
    <t>VRV 16hp</t>
  </si>
  <si>
    <t>VRV 20hp</t>
  </si>
  <si>
    <t>VRV 26hp</t>
  </si>
  <si>
    <t>Rif. Descrizione Macchina alternativa</t>
  </si>
  <si>
    <t>Recupero kit sanitario</t>
  </si>
  <si>
    <t>NO</t>
  </si>
  <si>
    <t>Rif. Descrizione kit sanitario</t>
  </si>
  <si>
    <t>Tabella_caratteristiche_VRV</t>
  </si>
  <si>
    <t>ALTRO</t>
  </si>
  <si>
    <t>Potenza</t>
  </si>
  <si>
    <t>Macchina</t>
  </si>
  <si>
    <t>L</t>
  </si>
  <si>
    <t>M</t>
  </si>
  <si>
    <t>N</t>
  </si>
  <si>
    <t>O</t>
  </si>
  <si>
    <t>P</t>
  </si>
  <si>
    <t>E</t>
  </si>
  <si>
    <t>D</t>
  </si>
  <si>
    <t>C</t>
  </si>
  <si>
    <t>B</t>
  </si>
  <si>
    <t>A</t>
  </si>
  <si>
    <t>RIDUZIONI CONSUMI IN %</t>
  </si>
  <si>
    <t>STANDARD</t>
  </si>
  <si>
    <t>CIRCA 16</t>
  </si>
  <si>
    <t>y=0,0013*T^2-0,0124*T+0,8983</t>
  </si>
  <si>
    <t>FATTORE CORRETTIVO PER IL CALDO</t>
  </si>
  <si>
    <t>y = -2E-07x5 - 1E-06x4 + 0,0001x3 + 0,0008x2 - 0,0227x + 0,953</t>
  </si>
  <si>
    <t xml:space="preserve">Capacità Media Effettiva del Ciclo = Capacità nominale ad una data temperatura x Coefficiente di correzione </t>
  </si>
  <si>
    <t xml:space="preserve">(Tiene conto del defrost e dell'accumulo di gelo) </t>
  </si>
  <si>
    <t>Out Temp.</t>
  </si>
  <si>
    <t xml:space="preserve">Coeff </t>
  </si>
  <si>
    <t xml:space="preserve">Temperatura di progetto invernale </t>
  </si>
  <si>
    <t xml:space="preserve">Potenza in riscaldamento </t>
  </si>
  <si>
    <t>Capacità media da tabella (25HP)</t>
  </si>
  <si>
    <t xml:space="preserve">VRV </t>
  </si>
  <si>
    <t>GHP</t>
  </si>
  <si>
    <t>VRV Corretto Defrost</t>
  </si>
  <si>
    <t>daikin 26HP</t>
  </si>
  <si>
    <t>HP VRV</t>
  </si>
  <si>
    <t>HP GHP</t>
  </si>
  <si>
    <t>KW</t>
  </si>
  <si>
    <t>KW/HP alla Temperatura di progetto</t>
  </si>
  <si>
    <t>VRV</t>
  </si>
  <si>
    <t>HP Consigliati</t>
  </si>
  <si>
    <t>Potenza di progetto</t>
  </si>
  <si>
    <t>Temperatura di progetto estivA</t>
  </si>
  <si>
    <t>KWNominal  installati GHP</t>
  </si>
  <si>
    <t>KW nominali installati VRV</t>
  </si>
  <si>
    <t>KW In freddo a Tprog</t>
  </si>
  <si>
    <t>KW in caldo a T prog</t>
  </si>
  <si>
    <t>KW in caldo a Tprog</t>
  </si>
  <si>
    <t>HP Consigliati in caldo</t>
  </si>
  <si>
    <t xml:space="preserve">(considero la capacità in freddo costante con la temperatura esterna) </t>
  </si>
  <si>
    <t>% sovradimensionamento</t>
  </si>
  <si>
    <t>KW/HP a 7°C</t>
  </si>
  <si>
    <t>Nominale/Progetto</t>
  </si>
  <si>
    <t>Freddo</t>
  </si>
  <si>
    <t>Caldo</t>
  </si>
  <si>
    <t>HP Consigliati in freddo</t>
  </si>
  <si>
    <t>Pecentuale Impianti</t>
  </si>
  <si>
    <t>GHP Caldo</t>
  </si>
  <si>
    <t>GHP Freddo</t>
  </si>
  <si>
    <t>VRV Caldo</t>
  </si>
  <si>
    <t>VRV Freddo</t>
  </si>
  <si>
    <t>% Lavoro</t>
  </si>
  <si>
    <t>% lavoro arrotondate(le percentuali vanno associate alle temperature della stessa riga)</t>
  </si>
  <si>
    <t xml:space="preserve">HP=2,8KW costanti </t>
  </si>
  <si>
    <t>Rendimento caldaia per recuper sanitario</t>
  </si>
  <si>
    <t>kWht</t>
  </si>
  <si>
    <t>n°</t>
  </si>
  <si>
    <t>Costo GPL - cent€/kg</t>
  </si>
  <si>
    <t>Years</t>
  </si>
  <si>
    <t>% tempo a carico parziale</t>
  </si>
  <si>
    <t>IMPIANTO CONCORRENTE</t>
  </si>
  <si>
    <t>100% del carico</t>
  </si>
  <si>
    <t>90% del carico</t>
  </si>
  <si>
    <t>80% del carico</t>
  </si>
  <si>
    <t>70% del carico</t>
  </si>
  <si>
    <t>60% del carico</t>
  </si>
  <si>
    <t>50% del carico</t>
  </si>
  <si>
    <t>40% del carico</t>
  </si>
  <si>
    <t>30% del carico</t>
  </si>
  <si>
    <t>Costo impianto</t>
  </si>
  <si>
    <t>Differenza costo impianto</t>
  </si>
  <si>
    <t>Risparmio annuo CO2</t>
  </si>
  <si>
    <t>Risparmio annuo in €</t>
  </si>
  <si>
    <t>Tempo di ammortamento</t>
  </si>
  <si>
    <t>DATI SOLO PER SOCIETA' GESTIONE CALORE</t>
  </si>
  <si>
    <t>DATI  DI  FUNZIONAMENTO</t>
  </si>
  <si>
    <t>Ore di funzionamento annuo</t>
  </si>
  <si>
    <t>Giorni di funzionamento annuo</t>
  </si>
  <si>
    <t>Costo totale funzionamento annuo</t>
  </si>
  <si>
    <t>Costo totale funzionamento giornaliero</t>
  </si>
  <si>
    <t>Costo totale funzionamento orario</t>
  </si>
  <si>
    <t>SENZA W-KIT</t>
  </si>
  <si>
    <t>CON W-KIT</t>
  </si>
  <si>
    <t>Consumo totale annuo GPL</t>
  </si>
  <si>
    <t>Surplus consumo GPL annuo</t>
  </si>
  <si>
    <t>Tempo di ammortamento - impianto</t>
  </si>
  <si>
    <t>IMPIANTO  GPL</t>
  </si>
  <si>
    <t>Risparmio giornaliero in €</t>
  </si>
  <si>
    <t>Risparmio orario in €</t>
  </si>
  <si>
    <t>Prezzo GPL - cent€/kg</t>
  </si>
  <si>
    <t>Replica tabella distribuzione oraria</t>
  </si>
  <si>
    <t xml:space="preserve"> LNG INSTALLATION</t>
  </si>
  <si>
    <t xml:space="preserve"> LNG PRICE - cent€/kg</t>
  </si>
  <si>
    <t>LNG cost - cent€/kg</t>
  </si>
  <si>
    <t>TOTAL yearly consumption of LNG</t>
  </si>
  <si>
    <t>Installation Cost</t>
  </si>
  <si>
    <t>INSTALLATION's PAY BACK</t>
  </si>
  <si>
    <t>Zone 1</t>
  </si>
  <si>
    <t>Zone 2</t>
  </si>
  <si>
    <t>Hours</t>
  </si>
  <si>
    <t>Work Week</t>
  </si>
  <si>
    <t>Fri &amp; Holidays eve.</t>
  </si>
  <si>
    <t>Sat &amp; Holidays</t>
  </si>
  <si>
    <t>Zone 3</t>
  </si>
  <si>
    <t>Zone 4</t>
  </si>
  <si>
    <t>Zone 5</t>
  </si>
  <si>
    <t>Zone 6</t>
  </si>
  <si>
    <t>Zone 7</t>
  </si>
  <si>
    <t>Zone 8</t>
  </si>
  <si>
    <t>Zone 9</t>
  </si>
  <si>
    <t>Tot. Hours</t>
  </si>
  <si>
    <t>TOT. SUMMER</t>
  </si>
  <si>
    <t>Tot. Hours zone 1</t>
  </si>
  <si>
    <t>Tot. Hours zone 2</t>
  </si>
  <si>
    <t>Tot. Hours zone 3</t>
  </si>
  <si>
    <t>Tot. Hours zone 4</t>
  </si>
  <si>
    <t>Tot. Hours zone 5</t>
  </si>
  <si>
    <t>Tot. Hours zone 6</t>
  </si>
  <si>
    <t>Tot. Hours zone 7</t>
  </si>
  <si>
    <t>Tot. Hours zone 8</t>
  </si>
  <si>
    <t>Tot. Hours zone 9</t>
  </si>
  <si>
    <t>Tot. Hours in a year Zone 1</t>
  </si>
  <si>
    <t>Tot. Hours in a year Zone 2</t>
  </si>
  <si>
    <t>Tot. Hours in a year Zone 3</t>
  </si>
  <si>
    <t>Tot. Hours in a year Zone 4</t>
  </si>
  <si>
    <t>Tot. Hours in a year Zone 5</t>
  </si>
  <si>
    <t>Tot. Hours in a year Zone 6</t>
  </si>
  <si>
    <t>Tot. Hours in a year Zone 7</t>
  </si>
  <si>
    <t>Tot. Hours in a year Zone 8</t>
  </si>
  <si>
    <t>Tot. Hours in a year Zone 9</t>
  </si>
  <si>
    <r>
      <t xml:space="preserve">Total working </t>
    </r>
    <r>
      <rPr>
        <b/>
        <u/>
        <sz val="10"/>
        <rFont val="Arial"/>
        <family val="2"/>
      </rPr>
      <t>days</t>
    </r>
    <r>
      <rPr>
        <b/>
        <sz val="10"/>
        <rFont val="Arial"/>
        <family val="2"/>
      </rPr>
      <t xml:space="preserve"> in a year</t>
    </r>
  </si>
  <si>
    <r>
      <t>Total working</t>
    </r>
    <r>
      <rPr>
        <b/>
        <u/>
        <sz val="10"/>
        <rFont val="Arial"/>
        <family val="2"/>
      </rPr>
      <t xml:space="preserve"> hours</t>
    </r>
    <r>
      <rPr>
        <b/>
        <sz val="10"/>
        <rFont val="Arial"/>
        <family val="2"/>
      </rPr>
      <t xml:space="preserve"> in a year</t>
    </r>
  </si>
  <si>
    <t>TOT. WINTER</t>
  </si>
  <si>
    <t>90% load</t>
  </si>
  <si>
    <t>80% load</t>
  </si>
  <si>
    <t>70% load</t>
  </si>
  <si>
    <t>60% load</t>
  </si>
  <si>
    <t>50% load</t>
  </si>
  <si>
    <t>40% load</t>
  </si>
  <si>
    <t>30% load</t>
  </si>
  <si>
    <t>YES</t>
  </si>
  <si>
    <t>DEMI SEASON (like summer)</t>
  </si>
  <si>
    <t>FOGLIO 1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</si>
  <si>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</si>
  <si>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</si>
  <si>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</si>
  <si>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</si>
  <si>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</si>
  <si>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</si>
  <si>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</si>
  <si>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</si>
  <si>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</si>
  <si>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</si>
  <si>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</si>
  <si>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</si>
  <si>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</si>
  <si>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</si>
  <si>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</si>
  <si>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</si>
  <si>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</si>
  <si>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</si>
  <si>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</si>
  <si>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</si>
  <si>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</si>
  <si>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</si>
  <si>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</si>
  <si>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</si>
  <si>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</si>
  <si>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FOGLIO 2</t>
  </si>
  <si>
    <t>A41</t>
  </si>
  <si>
    <t>A42</t>
  </si>
  <si>
    <t>A43</t>
  </si>
  <si>
    <t>A44</t>
  </si>
  <si>
    <t>A45</t>
  </si>
  <si>
    <t>A46</t>
  </si>
  <si>
    <t>A47</t>
  </si>
  <si>
    <t>FOGLIO 3</t>
  </si>
  <si>
    <t>A80</t>
  </si>
  <si>
    <t>A81</t>
  </si>
  <si>
    <t>A82</t>
  </si>
  <si>
    <t>A83</t>
  </si>
  <si>
    <t>A84</t>
  </si>
  <si>
    <t>A85</t>
  </si>
  <si>
    <t>A86</t>
  </si>
  <si>
    <t>A87</t>
  </si>
  <si>
    <t>FOGLIO 5</t>
  </si>
  <si>
    <t>rendimento di centrale</t>
  </si>
  <si>
    <t>pci</t>
  </si>
  <si>
    <t>cooling</t>
  </si>
  <si>
    <t>heating</t>
  </si>
  <si>
    <t>concorrente</t>
  </si>
  <si>
    <t>RISPARMIO ENERGIA PRIMARIA</t>
  </si>
  <si>
    <t>Versione 2.00.C EN</t>
  </si>
  <si>
    <t>Fattori conversione CO2</t>
  </si>
  <si>
    <t>EN ELETTRICA</t>
  </si>
  <si>
    <t>METANO O LNG</t>
  </si>
  <si>
    <t>Wkit</t>
  </si>
  <si>
    <t>Orario</t>
  </si>
  <si>
    <t>Lun
Ven</t>
  </si>
  <si>
    <t>Sab</t>
  </si>
  <si>
    <t>Dom</t>
  </si>
  <si>
    <t>TOT. Ore</t>
  </si>
  <si>
    <t>TOT. GG. FUNZION. ANNO</t>
  </si>
  <si>
    <t>TOT. ORE FUNZION. ANNO</t>
  </si>
  <si>
    <t>TOT. ESTATE</t>
  </si>
  <si>
    <t>TOT. INVERNO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</si>
  <si>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</si>
  <si>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</si>
  <si>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</si>
  <si>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</si>
  <si>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</si>
  <si>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</si>
  <si>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</si>
  <si>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</si>
  <si>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</si>
  <si>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</si>
  <si>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</si>
  <si>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</si>
  <si>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Mese</t>
  </si>
  <si>
    <t>gg.
funzion. nel mese</t>
  </si>
  <si>
    <t>Funzionamento in
raffrescamento</t>
  </si>
  <si>
    <t>Funzionamento in riscaldamento</t>
  </si>
  <si>
    <t>Mesi</t>
  </si>
  <si>
    <t>Ore</t>
  </si>
  <si>
    <t>% carico</t>
  </si>
  <si>
    <t>Fattore correttivo impianto AWS: 0,95</t>
  </si>
  <si>
    <t>LEGGERE ATTENTAMENTE</t>
  </si>
  <si>
    <t>Inserire tutti i dati esclusivamente nelle celle colorate in blu scuro</t>
  </si>
  <si>
    <t>I risultati ottenuti dalla presente analisi hanno valore puramente indicativo: per un'analisi più dettagliata si rimanda a software di calcolo che permettano una simulazione dinamica del caso.</t>
  </si>
  <si>
    <t>Tipo di impianto concorrente</t>
  </si>
  <si>
    <t>Tipo gas combustibile GHP</t>
  </si>
  <si>
    <t>Potenza di progetto - carico estivo</t>
  </si>
  <si>
    <t>Potenza di progetto - carico invernale</t>
  </si>
  <si>
    <t>Modalità analisi</t>
  </si>
  <si>
    <t>Ore funzionamento estivo</t>
  </si>
  <si>
    <t>ore/anno</t>
  </si>
  <si>
    <t>Ore funzionamento invernale</t>
  </si>
  <si>
    <t>Temperatura di progetto invernale</t>
  </si>
  <si>
    <t>Temperatura di progetto estivo</t>
  </si>
  <si>
    <t>Costo elettricità</t>
  </si>
  <si>
    <t xml:space="preserve">Costo fisso una tantum x aumento contat. elett. </t>
  </si>
  <si>
    <t>Costo fisso mensile per canone elettrico</t>
  </si>
  <si>
    <t>Potenza disponibile - contratto fornitura elettrica</t>
  </si>
  <si>
    <t>ESPANSIONE DIRETTA</t>
  </si>
  <si>
    <t>ARIA/ACQUA</t>
  </si>
  <si>
    <t>CHILLER/CALDAIA</t>
  </si>
  <si>
    <t>ASSORBITORE</t>
  </si>
  <si>
    <t>54 at 1 metro</t>
  </si>
  <si>
    <t>56 at 1 metro</t>
  </si>
  <si>
    <t>59 at 1 metro</t>
  </si>
  <si>
    <t>62 at 1 metro</t>
  </si>
  <si>
    <t>GAS NATURALE</t>
  </si>
  <si>
    <t>Lt/h</t>
  </si>
  <si>
    <t>- Dati generali dell'impianto  -</t>
  </si>
  <si>
    <t>- Condizioni di utilizzo -</t>
  </si>
  <si>
    <t>MARCA</t>
  </si>
  <si>
    <t xml:space="preserve"> - Caratteristiche dei sistemi -</t>
  </si>
  <si>
    <t>SI</t>
  </si>
  <si>
    <t>HP consigliati</t>
  </si>
  <si>
    <t>Descrizione impianto</t>
  </si>
  <si>
    <t>Q.tà</t>
  </si>
  <si>
    <t>Resa in freddo a 35°C Totale</t>
  </si>
  <si>
    <t>Resa in caldo a 7°C Totale</t>
  </si>
  <si>
    <t>NOTA: inserire i consumi relativo al 100% del carico, alle temperature di progetto</t>
  </si>
  <si>
    <t>NOTA: inserire il consumo in kW at 100% del carico. In automatico, a seconda del combustibile selezionato, il dato di output verrà espresso in m3/h o kg/h.</t>
  </si>
  <si>
    <t>DATI</t>
  </si>
  <si>
    <t>MANUALI</t>
  </si>
  <si>
    <t>Assorb. Elett. in freddo al:</t>
  </si>
  <si>
    <t>Tot. assorb. elett. in freddo</t>
  </si>
  <si>
    <t>Assorb. Elett. in caldo al:</t>
  </si>
  <si>
    <t>Tot. assorb. elett. in caldo</t>
  </si>
  <si>
    <t>Consumo gas in freddo al:</t>
  </si>
  <si>
    <t>Tot. consumo gas in freddo</t>
  </si>
  <si>
    <t>Consumo gas in caldo al:</t>
  </si>
  <si>
    <t>Tot. consumo gas in caldo</t>
  </si>
  <si>
    <t>Marca</t>
  </si>
  <si>
    <t>Descrizione</t>
  </si>
  <si>
    <t>Costo unitario di listino</t>
  </si>
  <si>
    <t>Sconto</t>
  </si>
  <si>
    <t>Prezzo unitario netto</t>
  </si>
  <si>
    <t>Costo di avviamento</t>
  </si>
  <si>
    <t>Totale</t>
  </si>
  <si>
    <t xml:space="preserve"> - Costi dei sistemi -</t>
  </si>
  <si>
    <t>Non applicato alle GHP</t>
  </si>
  <si>
    <t>Quantità</t>
  </si>
  <si>
    <t>Tot. Costi di manutenzione</t>
  </si>
  <si>
    <t>Inserisci manualmente i costi di manutenzione</t>
  </si>
  <si>
    <t xml:space="preserve"> - Costi di funzionamento annui -</t>
  </si>
  <si>
    <t>Costi consumo elettrico al:</t>
  </si>
  <si>
    <t>Tot. costi consumo elettrico</t>
  </si>
  <si>
    <t>Costi consumo gas al:</t>
  </si>
  <si>
    <t>Tot. costi consumo gas</t>
  </si>
  <si>
    <t>TOT. COSTI FUNZIONAMENTO ANNUO</t>
  </si>
  <si>
    <t>Differenza iniziale costo impianto</t>
  </si>
  <si>
    <t>Tn</t>
  </si>
  <si>
    <t>Risparmio annuo in  €</t>
  </si>
  <si>
    <t>Risparmio di energia primaria</t>
  </si>
  <si>
    <t xml:space="preserve">Produzione annua acqua calda sanitaria (estiva) </t>
  </si>
  <si>
    <t>- Ammortamento -</t>
  </si>
  <si>
    <t>Software sviluppato da</t>
  </si>
  <si>
    <t xml:space="preserve">Tot. canone annuo elettrico </t>
  </si>
  <si>
    <t>PROFILO ORARIO - ESTATE</t>
  </si>
  <si>
    <t>PROFILO ORARIO - INVERNO</t>
  </si>
  <si>
    <t>SCELTE PROGETTUALI</t>
  </si>
  <si>
    <t>kWhe</t>
  </si>
  <si>
    <t>ALTRE SOLUZIONI</t>
  </si>
  <si>
    <t>RISPETTO ALLA SOLUZIONE ATTUALE</t>
  </si>
  <si>
    <t xml:space="preserve">TECNOLOGIE </t>
  </si>
  <si>
    <t>CONSUMI</t>
  </si>
  <si>
    <t>ENERGIA ELETTRICA</t>
  </si>
  <si>
    <t>NOTE</t>
  </si>
  <si>
    <t>Si ricorda che i dati sopra specificati sono da considerarsi indicativi in quanto:</t>
  </si>
  <si>
    <t>- dipendono da precise ipotesi inziali, di natura energetico/economica;</t>
  </si>
  <si>
    <t>IMPIANTO GHP AISIN</t>
  </si>
  <si>
    <t>TECNOLOGIA</t>
  </si>
  <si>
    <t>POTENZA TERMICA DI PROGETTO</t>
  </si>
  <si>
    <t>POTENZA FRIGORIFERA DI PROGETTO</t>
  </si>
  <si>
    <t>kWt</t>
  </si>
  <si>
    <t>kWf</t>
  </si>
  <si>
    <t>- dipendono dal programma di lavoro delle macchine indicato nel foglio "1-Ore di funzionamento".</t>
  </si>
  <si>
    <t>CONSUMI CON PRODUZIONE ACS</t>
  </si>
  <si>
    <t>CONSUMI CON W-KIT</t>
  </si>
  <si>
    <t>TOTALE ORE DI FUNZIONAMENTO ANNUE</t>
  </si>
  <si>
    <t>NON SERVONO QUESTI DATI</t>
  </si>
  <si>
    <t>Usufruisco dell'ECObonus</t>
  </si>
  <si>
    <t>Totale investimento</t>
  </si>
  <si>
    <t>Contributo annuo</t>
  </si>
  <si>
    <t>Usufruisco del Conto Termico 2.0</t>
  </si>
  <si>
    <t>Ipotesi di base</t>
  </si>
  <si>
    <t>Zona climatica</t>
  </si>
  <si>
    <t>-</t>
  </si>
  <si>
    <t>Costo fornitura</t>
  </si>
  <si>
    <t>Opere EXTRA</t>
  </si>
  <si>
    <t>TOTALE</t>
  </si>
  <si>
    <t>Dettagli incentivo</t>
  </si>
  <si>
    <t>Tipologie</t>
  </si>
  <si>
    <t>Ci</t>
  </si>
  <si>
    <t>Aria/Aria</t>
  </si>
  <si>
    <t>&gt;35 kWht</t>
  </si>
  <si>
    <t>CONTO TERMICO</t>
  </si>
  <si>
    <t>ECOBONUS</t>
  </si>
  <si>
    <t>Pth</t>
  </si>
  <si>
    <t>Pth_TOT</t>
  </si>
  <si>
    <t>Qusable</t>
  </si>
  <si>
    <t>GUE</t>
  </si>
  <si>
    <t>Eren</t>
  </si>
  <si>
    <t>Eren_TOT</t>
  </si>
  <si>
    <t>Incentivo annuo</t>
  </si>
  <si>
    <t>Incentivo totale</t>
  </si>
  <si>
    <t>Quota annua</t>
  </si>
  <si>
    <t>Totale detrazione</t>
  </si>
  <si>
    <t>Zona Climatica</t>
  </si>
  <si>
    <r>
      <t>≤</t>
    </r>
    <r>
      <rPr>
        <sz val="11"/>
        <rFont val="Calibri"/>
        <family val="2"/>
        <scheme val="minor"/>
      </rPr>
      <t>35 kWht</t>
    </r>
  </si>
  <si>
    <t>GHP - Modello</t>
  </si>
  <si>
    <t>GUEraffr</t>
  </si>
  <si>
    <t>GUErisc</t>
  </si>
  <si>
    <t>Usufruisco dell'incentivo?</t>
  </si>
  <si>
    <t>1° colonna GHP</t>
  </si>
  <si>
    <t>3° colonna GHP</t>
  </si>
  <si>
    <t>2° colonna GHP</t>
  </si>
  <si>
    <t>EER</t>
  </si>
  <si>
    <t>COP</t>
  </si>
  <si>
    <t>COP_1</t>
  </si>
  <si>
    <t>COP_3</t>
  </si>
  <si>
    <t>COP_2</t>
  </si>
  <si>
    <t>EHP</t>
  </si>
  <si>
    <t>GUE_1</t>
  </si>
  <si>
    <t>GUE_2</t>
  </si>
  <si>
    <t>GUE_3</t>
  </si>
  <si>
    <t>GAHP</t>
  </si>
  <si>
    <t>GHP - GAHP</t>
  </si>
  <si>
    <t>- Incentivi GHP -</t>
  </si>
  <si>
    <t>- Incentivi alternativa -</t>
  </si>
  <si>
    <t>Recupero annuo totale kWh termici</t>
  </si>
  <si>
    <t>Prestazioni energetiche HP alle condizioni nominali</t>
  </si>
  <si>
    <t>Contributo totale (10 anni)</t>
  </si>
  <si>
    <t>Contributo totale (2-5 anni)</t>
  </si>
  <si>
    <t xml:space="preserve">- Orario funzionamento impianti - </t>
  </si>
  <si>
    <r>
      <t>kW</t>
    </r>
    <r>
      <rPr>
        <vertAlign val="subscript"/>
        <sz val="18"/>
        <rFont val="Calibri"/>
        <family val="2"/>
        <scheme val="minor"/>
      </rPr>
      <t>max</t>
    </r>
  </si>
  <si>
    <t>DT - °C</t>
  </si>
  <si>
    <r>
      <t>PRODUZIONE ANNUA CO2 IN TON.</t>
    </r>
    <r>
      <rPr>
        <b/>
        <sz val="12"/>
        <rFont val="Calibri"/>
        <family val="2"/>
        <scheme val="minor"/>
      </rPr>
      <t xml:space="preserve"> (El.+ Gas)</t>
    </r>
  </si>
  <si>
    <t xml:space="preserve">                         Risparmio annuo CO2</t>
  </si>
  <si>
    <t xml:space="preserve">                         Rispettto all'impianto concorrente</t>
  </si>
  <si>
    <r>
      <t>(C</t>
    </r>
    <r>
      <rPr>
        <vertAlign val="sub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- C</t>
    </r>
    <r>
      <rPr>
        <vertAlign val="subscript"/>
        <sz val="12"/>
        <rFont val="Calibri"/>
        <family val="2"/>
        <scheme val="minor"/>
      </rPr>
      <t>0</t>
    </r>
    <r>
      <rPr>
        <sz val="12"/>
        <rFont val="Calibri"/>
        <family val="2"/>
        <scheme val="minor"/>
      </rPr>
      <t>)</t>
    </r>
  </si>
  <si>
    <t>=    ∆°C    =</t>
  </si>
  <si>
    <r>
      <t xml:space="preserve">Tn </t>
    </r>
    <r>
      <rPr>
        <vertAlign val="superscript"/>
        <sz val="6"/>
        <rFont val="Calibri"/>
        <family val="2"/>
        <scheme val="minor"/>
      </rPr>
      <t>(1,2,3,4,5,6 )</t>
    </r>
    <r>
      <rPr>
        <sz val="12"/>
        <rFont val="Calibri"/>
        <family val="2"/>
        <scheme val="minor"/>
      </rPr>
      <t>=</t>
    </r>
  </si>
  <si>
    <r>
      <t>C</t>
    </r>
    <r>
      <rPr>
        <vertAlign val="subscript"/>
        <sz val="12"/>
        <rFont val="Calibri"/>
        <family val="2"/>
        <scheme val="minor"/>
      </rPr>
      <t>0</t>
    </r>
    <r>
      <rPr>
        <sz val="12"/>
        <rFont val="Calibri"/>
        <family val="2"/>
        <scheme val="minor"/>
      </rPr>
      <t xml:space="preserve"> +</t>
    </r>
  </si>
  <si>
    <r>
      <t>x (T</t>
    </r>
    <r>
      <rPr>
        <vertAlign val="subscript"/>
        <sz val="12"/>
        <rFont val="Calibri"/>
        <family val="2"/>
        <scheme val="minor"/>
      </rPr>
      <t>data</t>
    </r>
    <r>
      <rPr>
        <sz val="12"/>
        <rFont val="Calibri"/>
        <family val="2"/>
        <scheme val="minor"/>
      </rPr>
      <t xml:space="preserve"> - T</t>
    </r>
    <r>
      <rPr>
        <vertAlign val="subscript"/>
        <sz val="12"/>
        <rFont val="Calibri"/>
        <family val="2"/>
        <scheme val="minor"/>
      </rPr>
      <t>0</t>
    </r>
    <r>
      <rPr>
        <sz val="12"/>
        <rFont val="Calibri"/>
        <family val="2"/>
        <scheme val="minor"/>
      </rPr>
      <t>)</t>
    </r>
  </si>
  <si>
    <r>
      <t>(T</t>
    </r>
    <r>
      <rPr>
        <vertAlign val="sub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- T</t>
    </r>
    <r>
      <rPr>
        <vertAlign val="subscript"/>
        <sz val="12"/>
        <rFont val="Calibri"/>
        <family val="2"/>
        <scheme val="minor"/>
      </rPr>
      <t>0</t>
    </r>
    <r>
      <rPr>
        <sz val="12"/>
        <rFont val="Calibri"/>
        <family val="2"/>
        <scheme val="minor"/>
      </rPr>
      <t>)</t>
    </r>
  </si>
  <si>
    <t>GEHP 8hp</t>
  </si>
  <si>
    <t>GEHP 10hp</t>
  </si>
  <si>
    <t>GEHP 13hp</t>
  </si>
  <si>
    <t>GEHP 16hp</t>
  </si>
  <si>
    <t>GEHP 20hp</t>
  </si>
  <si>
    <t>GEHP 25hp</t>
  </si>
  <si>
    <t>GEHP 8hp + AWS</t>
  </si>
  <si>
    <t>GEHP 10hp + AWS</t>
  </si>
  <si>
    <t>GEHP 13hp + AWS</t>
  </si>
  <si>
    <t>GEHP 16hp + AWS</t>
  </si>
  <si>
    <t>GEHP 20hp + AWS</t>
  </si>
  <si>
    <t>GEHP 25hp + AWS</t>
  </si>
  <si>
    <t>GEHP 30hp + AWS</t>
  </si>
  <si>
    <t>GEHP 30hp</t>
  </si>
  <si>
    <t>58 at 1 metro</t>
  </si>
  <si>
    <t>63 at 1 metro</t>
  </si>
  <si>
    <t>Version 03 IT</t>
  </si>
  <si>
    <t>Soluzione AISIN TOYOTA</t>
  </si>
  <si>
    <t>Totali</t>
  </si>
  <si>
    <t>Vantaggi economici</t>
  </si>
  <si>
    <t>Pay Back investimento</t>
  </si>
  <si>
    <t>Riduzione consumi En. Primaria</t>
  </si>
  <si>
    <t>Soluzione alternativa</t>
  </si>
  <si>
    <t>Combustibile</t>
  </si>
  <si>
    <t>anni</t>
  </si>
  <si>
    <t>Tonn</t>
  </si>
  <si>
    <t>Manutenzione</t>
  </si>
  <si>
    <t>Canone elettrico</t>
  </si>
  <si>
    <t>Dati proprietario</t>
  </si>
  <si>
    <t>Nome e cognome</t>
  </si>
  <si>
    <t>Ragione Sociale</t>
  </si>
  <si>
    <t>Indirizzo</t>
  </si>
  <si>
    <t>Comune</t>
  </si>
  <si>
    <t>Provincia</t>
  </si>
  <si>
    <t>CAP</t>
  </si>
  <si>
    <t>Telefono</t>
  </si>
  <si>
    <t>Mail</t>
  </si>
  <si>
    <t>Bilancio energetico</t>
  </si>
  <si>
    <t>Riduzione emissioni CO2</t>
  </si>
  <si>
    <t>Ore di funzionamento estive</t>
  </si>
  <si>
    <t>Ore di funzionamento invernali</t>
  </si>
  <si>
    <t>Ore di funzionamento totali</t>
  </si>
  <si>
    <t>l/anno</t>
  </si>
  <si>
    <t>La garanzia della soluzione AISIN TOYOTA rispetto alla soluzione alternativa</t>
  </si>
  <si>
    <t>La pompa di calore a motore endotermico AISIN TOYOTA: scegli oggi un futuro migliore</t>
  </si>
  <si>
    <t>Dati di riferimento</t>
  </si>
  <si>
    <t>Costo unità combustibile</t>
  </si>
  <si>
    <t>Costo energia elettrica</t>
  </si>
  <si>
    <t>Potenza di progetto invernale</t>
  </si>
  <si>
    <t>Potenza di progetto estiva</t>
  </si>
  <si>
    <t>Temperatura di progetto estiva</t>
  </si>
  <si>
    <t>Recupero calore del motore?</t>
  </si>
  <si>
    <t>Recupero calore del motore</t>
  </si>
  <si>
    <t>Tempo di ammortamento con kit recupero calore motore</t>
  </si>
  <si>
    <t>Risparmio annuo in € con kit recupero calore motore</t>
  </si>
  <si>
    <t>Usufruisco del Credito d'imposta</t>
  </si>
  <si>
    <t>% Credito d'imposta</t>
  </si>
  <si>
    <t>Energia Elettrica</t>
  </si>
  <si>
    <t>Usufruisco del SUPERbonus</t>
  </si>
  <si>
    <t>SUPERBONUS</t>
  </si>
  <si>
    <t>Unità Immobiliari</t>
  </si>
  <si>
    <t>Unità immobiliari</t>
  </si>
  <si>
    <t>Acqua calda gratuita da recupero calore del motore</t>
  </si>
  <si>
    <t xml:space="preserve">GHP </t>
  </si>
  <si>
    <t>EHP - GAHP</t>
  </si>
  <si>
    <t>Totale incentivi economici GEHP</t>
  </si>
  <si>
    <t>Incentivi GEHP</t>
  </si>
  <si>
    <t>Contributo totale (5 anni)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</si>
</sst>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5" formatCode="&quot;€&quot;\ #,##0;\-&quot;€&quot;\ #,##0"/>
    <numFmt numFmtId="8" formatCode="&quot;€&quot;\ #,##0.00;[Red]\-&quot;€&quot;\ #,##0.00"/>
    <numFmt numFmtId="42" formatCode="_-&quot;€&quot;\ * #,##0_-;\-&quot;€&quot;\ * #,##0_-;_-&quot;€&quot;\ * &quot;-&quot;_-;_-@_-"/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[$€]\ * #,##0.00_-;\-[$€]\ * #,##0.00_-;_-[$€]\ * &quot;-&quot;??_-;_-@_-"/>
    <numFmt numFmtId="165" formatCode="_-* #,##0.0_-;\-* #,##0.0_-;_-* &quot;-&quot;??_-;_-@_-"/>
    <numFmt numFmtId="166" formatCode="_-* #,##0_-;\-* #,##0_-;_-* &quot;-&quot;??_-;_-@_-"/>
    <numFmt numFmtId="167" formatCode="0.0"/>
    <numFmt numFmtId="168" formatCode="#,##0.00_ ;[Red]\-#,##0.00\ "/>
    <numFmt numFmtId="169" formatCode="0.0%"/>
    <numFmt numFmtId="170" formatCode="#,##0.00_ ;\-#,##0.00\ "/>
    <numFmt numFmtId="171" formatCode="#,##0.0"/>
    <numFmt numFmtId="172" formatCode="#,##0.000_ ;\-#,##0.000\ "/>
    <numFmt numFmtId="173" formatCode="0.000"/>
    <numFmt numFmtId="174" formatCode="_-* #,##0.00\ [$€-1007]_-;\-* #,##0.00\ [$€-1007]_-;_-* &quot;-&quot;??\ [$€-1007]_-;_-@_-"/>
    <numFmt numFmtId="175" formatCode="#,##0_ ;[Red]\-#,##0\ "/>
    <numFmt numFmtId="176" formatCode="0.0000%"/>
    <numFmt numFmtId="177" formatCode="_-* #,##0.000_-;\-* #,##0.000_-;_-* &quot;-&quot;_-;_-@_-"/>
    <numFmt numFmtId="178" formatCode="0.000%"/>
    <numFmt numFmtId="179" formatCode="_-* #,##0.00_-;\-* #,##0.00_-;_-* &quot;-&quot;_-;_-@_-"/>
    <numFmt numFmtId="180" formatCode="#,##0_ ;\-#,##0\ "/>
    <numFmt numFmtId="181" formatCode="_-[$€-410]\ * #,##0.00_-;\-[$€-410]\ * #,##0.00_-;_-[$€-410]\ * &quot;-&quot;??_-;_-@_-"/>
    <numFmt numFmtId="182" formatCode="_-[$€]\ * #,##0.0_-;\-[$€]\ * #,##0.0_-;_-[$€]\ * &quot;-&quot;??_-;_-@_-"/>
    <numFmt numFmtId="183" formatCode="_-&quot;€&quot;\ * #,##0_-;\-&quot;€&quot;\ * #,##0_-;_-&quot;€&quot;\ * &quot;-&quot;??_-;_-@_-"/>
    <numFmt numFmtId="184" formatCode="_-&quot;€&quot;\ * #,##0.000_-;\-&quot;€&quot;\ * #,##0.000_-;_-&quot;€&quot;\ * &quot;-&quot;??_-;_-@_-"/>
    <numFmt numFmtId="185" formatCode="#,##0.0_ ;\-#,##0.0\ "/>
    <numFmt numFmtId="186" formatCode="#,##0.0_ ;[Red]\-#,##0.0\ "/>
  </numFmts>
  <fonts count="107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20"/>
      <name val="Arial"/>
      <family val="2"/>
    </font>
    <font>
      <b/>
      <sz val="18"/>
      <name val="Arial"/>
      <family val="2"/>
    </font>
    <font>
      <sz val="18"/>
      <name val="Times New Roman"/>
      <family val="1"/>
    </font>
    <font>
      <b/>
      <sz val="18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sz val="12"/>
      <color indexed="10"/>
      <name val="Times New Roman"/>
      <family val="1"/>
    </font>
    <font>
      <b/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vertAlign val="superscript"/>
      <sz val="6"/>
      <name val="Times New Roman"/>
      <family val="1"/>
    </font>
    <font>
      <vertAlign val="subscript"/>
      <sz val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u/>
      <sz val="16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u/>
      <sz val="8"/>
      <color indexed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8"/>
      <name val="Arial"/>
      <family val="2"/>
    </font>
    <font>
      <sz val="12"/>
      <name val="Arial"/>
      <family val="2"/>
    </font>
    <font>
      <sz val="8"/>
      <color indexed="22"/>
      <name val="Arial"/>
      <family val="2"/>
    </font>
    <font>
      <b/>
      <sz val="14"/>
      <color indexed="9"/>
      <name val="Arial"/>
      <family val="2"/>
    </font>
    <font>
      <b/>
      <sz val="12"/>
      <color indexed="10"/>
      <name val="Arial"/>
      <family val="2"/>
    </font>
    <font>
      <b/>
      <sz val="18"/>
      <color indexed="9"/>
      <name val="Arial"/>
      <family val="2"/>
    </font>
    <font>
      <sz val="12"/>
      <color indexed="22"/>
      <name val="Arial"/>
      <family val="2"/>
    </font>
    <font>
      <sz val="10"/>
      <color indexed="22"/>
      <name val="Arial"/>
      <family val="2"/>
    </font>
    <font>
      <sz val="2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i/>
      <sz val="22"/>
      <color indexed="10"/>
      <name val="Arial"/>
      <family val="2"/>
    </font>
    <font>
      <b/>
      <sz val="7"/>
      <color indexed="10"/>
      <name val="Arial"/>
      <family val="2"/>
    </font>
    <font>
      <b/>
      <sz val="8"/>
      <color indexed="10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sz val="15"/>
      <name val="Arial"/>
      <family val="2"/>
    </font>
    <font>
      <b/>
      <u/>
      <sz val="20"/>
      <name val="Times New Roman"/>
      <family val="1"/>
    </font>
    <font>
      <b/>
      <u/>
      <sz val="14"/>
      <name val="Arial"/>
      <family val="2"/>
    </font>
    <font>
      <sz val="8"/>
      <color rgb="FF000000"/>
      <name val="Tahoma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indexed="10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indexed="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indexed="22"/>
      <name val="Calibri"/>
      <family val="2"/>
      <scheme val="minor"/>
    </font>
    <font>
      <sz val="18"/>
      <name val="Calibri"/>
      <family val="2"/>
      <scheme val="minor"/>
    </font>
    <font>
      <sz val="18"/>
      <color indexed="9"/>
      <name val="Calibri"/>
      <family val="2"/>
      <scheme val="minor"/>
    </font>
    <font>
      <sz val="12"/>
      <color indexed="22"/>
      <name val="Calibri"/>
      <family val="2"/>
      <scheme val="minor"/>
    </font>
    <font>
      <sz val="8"/>
      <color indexed="22"/>
      <name val="Calibri"/>
      <family val="2"/>
      <scheme val="minor"/>
    </font>
    <font>
      <vertAlign val="subscript"/>
      <sz val="18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4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rgb="FFC00000"/>
      <name val="Calibri"/>
      <family val="2"/>
      <scheme val="minor"/>
    </font>
    <font>
      <sz val="18"/>
      <color rgb="FFC00000"/>
      <name val="Calibri"/>
      <family val="2"/>
      <scheme val="minor"/>
    </font>
    <font>
      <sz val="4"/>
      <color indexed="22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6"/>
      <name val="Calibri"/>
      <family val="2"/>
      <scheme val="minor"/>
    </font>
    <font>
      <sz val="20"/>
      <name val="Calibri"/>
      <family val="2"/>
      <scheme val="minor"/>
    </font>
    <font>
      <b/>
      <sz val="24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vertAlign val="subscript"/>
      <sz val="12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24"/>
      <color rgb="FF008000"/>
      <name val="Calibri"/>
      <family val="2"/>
      <scheme val="minor"/>
    </font>
    <font>
      <sz val="24"/>
      <color rgb="FF008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2"/>
        <bgColor indexed="27"/>
      </patternFill>
    </fill>
    <fill>
      <patternFill patternType="solid">
        <fgColor indexed="62"/>
        <bgColor indexed="2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6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9" fontId="4" fillId="0" borderId="0" applyFont="0" applyFill="0" applyBorder="0" applyAlignment="0" applyProtection="0"/>
    <xf numFmtId="9" fontId="6" fillId="0" borderId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633">
    <xf numFmtId="0" fontId="0" fillId="0" borderId="0" xfId="0"/>
    <xf numFmtId="41" fontId="5" fillId="2" borderId="0" xfId="3" applyFont="1" applyFill="1" applyBorder="1" applyAlignment="1" applyProtection="1">
      <alignment horizontal="center" vertical="center"/>
    </xf>
    <xf numFmtId="2" fontId="5" fillId="2" borderId="0" xfId="3" applyNumberFormat="1" applyFont="1" applyFill="1" applyBorder="1" applyAlignment="1" applyProtection="1">
      <alignment horizontal="center" vertical="center"/>
    </xf>
    <xf numFmtId="0" fontId="14" fillId="0" borderId="0" xfId="0" applyFont="1" applyProtection="1">
      <protection hidden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0" fillId="0" borderId="0" xfId="0" applyFill="1"/>
    <xf numFmtId="0" fontId="14" fillId="0" borderId="0" xfId="0" applyFont="1" applyFill="1" applyProtection="1">
      <protection hidden="1"/>
    </xf>
    <xf numFmtId="0" fontId="0" fillId="0" borderId="0" xfId="0" applyBorder="1" applyAlignment="1">
      <alignment horizontal="center"/>
    </xf>
    <xf numFmtId="0" fontId="0" fillId="0" borderId="1" xfId="0" applyBorder="1"/>
    <xf numFmtId="0" fontId="18" fillId="0" borderId="0" xfId="0" applyFont="1" applyFill="1" applyProtection="1">
      <protection hidden="1"/>
    </xf>
    <xf numFmtId="0" fontId="19" fillId="0" borderId="0" xfId="0" applyFont="1" applyFill="1" applyProtection="1">
      <protection hidden="1"/>
    </xf>
    <xf numFmtId="0" fontId="19" fillId="0" borderId="0" xfId="0" applyFont="1" applyFill="1" applyAlignment="1" applyProtection="1">
      <alignment horizontal="center"/>
      <protection hidden="1"/>
    </xf>
    <xf numFmtId="9" fontId="0" fillId="0" borderId="2" xfId="7" applyFont="1" applyBorder="1" applyAlignment="1">
      <alignment horizontal="center"/>
    </xf>
    <xf numFmtId="9" fontId="0" fillId="0" borderId="0" xfId="7" applyFont="1"/>
    <xf numFmtId="9" fontId="0" fillId="0" borderId="0" xfId="7" applyFont="1" applyBorder="1"/>
    <xf numFmtId="9" fontId="0" fillId="0" borderId="0" xfId="7" applyFont="1" applyBorder="1" applyAlignment="1">
      <alignment horizontal="center"/>
    </xf>
    <xf numFmtId="0" fontId="0" fillId="0" borderId="6" xfId="0" applyBorder="1"/>
    <xf numFmtId="0" fontId="20" fillId="0" borderId="0" xfId="0" quotePrefix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9" fontId="0" fillId="0" borderId="6" xfId="7" applyFont="1" applyBorder="1" applyAlignment="1">
      <alignment horizontal="right"/>
    </xf>
    <xf numFmtId="167" fontId="0" fillId="0" borderId="0" xfId="0" applyNumberFormat="1" applyBorder="1"/>
    <xf numFmtId="0" fontId="0" fillId="0" borderId="8" xfId="0" applyBorder="1" applyAlignment="1">
      <alignment horizontal="right"/>
    </xf>
    <xf numFmtId="167" fontId="0" fillId="0" borderId="2" xfId="0" applyNumberFormat="1" applyBorder="1"/>
    <xf numFmtId="2" fontId="0" fillId="0" borderId="0" xfId="0" applyNumberFormat="1" applyBorder="1" applyAlignment="1">
      <alignment horizontal="center"/>
    </xf>
    <xf numFmtId="0" fontId="0" fillId="0" borderId="7" xfId="0" applyBorder="1"/>
    <xf numFmtId="166" fontId="19" fillId="0" borderId="0" xfId="2" applyNumberFormat="1" applyFont="1" applyFill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6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8" fillId="2" borderId="0" xfId="0" applyFon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indent="1"/>
    </xf>
    <xf numFmtId="0" fontId="26" fillId="0" borderId="0" xfId="0" applyFont="1" applyAlignment="1">
      <alignment horizontal="right" vertical="center"/>
    </xf>
    <xf numFmtId="0" fontId="6" fillId="0" borderId="12" xfId="0" applyFont="1" applyBorder="1" applyAlignment="1">
      <alignment horizontal="left" vertical="center" indent="1"/>
    </xf>
    <xf numFmtId="0" fontId="6" fillId="0" borderId="0" xfId="0" applyFont="1" applyAlignment="1">
      <alignment vertical="center"/>
    </xf>
    <xf numFmtId="0" fontId="27" fillId="3" borderId="12" xfId="0" applyFont="1" applyFill="1" applyBorder="1" applyAlignment="1">
      <alignment horizontal="left" vertical="center" indent="1"/>
    </xf>
    <xf numFmtId="0" fontId="27" fillId="3" borderId="12" xfId="0" applyFont="1" applyFill="1" applyBorder="1" applyAlignment="1">
      <alignment horizontal="right" vertical="center"/>
    </xf>
    <xf numFmtId="0" fontId="28" fillId="0" borderId="0" xfId="0" applyFont="1" applyAlignment="1">
      <alignment vertical="center"/>
    </xf>
    <xf numFmtId="176" fontId="24" fillId="0" borderId="0" xfId="3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13" xfId="0" applyFont="1" applyBorder="1" applyAlignment="1">
      <alignment vertical="center"/>
    </xf>
    <xf numFmtId="41" fontId="24" fillId="0" borderId="12" xfId="3" applyNumberFormat="1" applyFont="1" applyBorder="1" applyAlignment="1">
      <alignment vertical="center"/>
    </xf>
    <xf numFmtId="177" fontId="24" fillId="0" borderId="0" xfId="3" applyNumberFormat="1" applyFont="1" applyAlignment="1">
      <alignment vertical="center"/>
    </xf>
    <xf numFmtId="0" fontId="24" fillId="0" borderId="13" xfId="0" applyFont="1" applyBorder="1" applyAlignment="1">
      <alignment vertical="center" wrapText="1"/>
    </xf>
    <xf numFmtId="41" fontId="24" fillId="0" borderId="0" xfId="3" applyNumberFormat="1" applyFont="1" applyAlignment="1">
      <alignment vertical="center"/>
    </xf>
    <xf numFmtId="0" fontId="24" fillId="0" borderId="0" xfId="0" applyFont="1" applyAlignment="1">
      <alignment vertical="center" wrapText="1"/>
    </xf>
    <xf numFmtId="10" fontId="24" fillId="0" borderId="12" xfId="0" applyNumberFormat="1" applyFont="1" applyBorder="1" applyAlignment="1">
      <alignment vertical="center"/>
    </xf>
    <xf numFmtId="0" fontId="24" fillId="0" borderId="0" xfId="0" quotePrefix="1" applyFont="1" applyAlignment="1">
      <alignment vertical="center"/>
    </xf>
    <xf numFmtId="0" fontId="24" fillId="4" borderId="12" xfId="0" applyFont="1" applyFill="1" applyBorder="1" applyAlignment="1">
      <alignment vertical="center"/>
    </xf>
    <xf numFmtId="166" fontId="24" fillId="4" borderId="12" xfId="0" applyNumberFormat="1" applyFont="1" applyFill="1" applyBorder="1" applyAlignment="1">
      <alignment vertical="center"/>
    </xf>
    <xf numFmtId="14" fontId="24" fillId="0" borderId="12" xfId="3" applyNumberFormat="1" applyFont="1" applyBorder="1" applyAlignment="1">
      <alignment horizontal="right" vertical="center"/>
    </xf>
    <xf numFmtId="41" fontId="6" fillId="0" borderId="0" xfId="3" applyFont="1" applyAlignment="1">
      <alignment vertical="center"/>
    </xf>
    <xf numFmtId="178" fontId="24" fillId="0" borderId="0" xfId="7" applyNumberFormat="1" applyFont="1" applyAlignment="1">
      <alignment vertical="center"/>
    </xf>
    <xf numFmtId="41" fontId="24" fillId="0" borderId="12" xfId="3" applyFont="1" applyBorder="1" applyAlignment="1">
      <alignment horizontal="right" vertical="center"/>
    </xf>
    <xf numFmtId="41" fontId="24" fillId="0" borderId="12" xfId="3" applyFont="1" applyBorder="1" applyAlignment="1">
      <alignment vertical="center"/>
    </xf>
    <xf numFmtId="14" fontId="24" fillId="0" borderId="0" xfId="3" applyNumberFormat="1" applyFont="1" applyAlignment="1">
      <alignment horizontal="right" vertical="center"/>
    </xf>
    <xf numFmtId="41" fontId="24" fillId="0" borderId="0" xfId="3" applyFont="1" applyAlignment="1">
      <alignment vertical="center"/>
    </xf>
    <xf numFmtId="0" fontId="29" fillId="0" borderId="0" xfId="0" applyFont="1" applyAlignment="1">
      <alignment vertical="center"/>
    </xf>
    <xf numFmtId="41" fontId="24" fillId="0" borderId="0" xfId="3" applyFont="1" applyAlignment="1">
      <alignment horizontal="right" vertical="center"/>
    </xf>
    <xf numFmtId="176" fontId="24" fillId="0" borderId="14" xfId="0" applyNumberFormat="1" applyFont="1" applyBorder="1" applyAlignment="1">
      <alignment horizontal="center" vertical="center"/>
    </xf>
    <xf numFmtId="176" fontId="24" fillId="0" borderId="12" xfId="3" applyNumberFormat="1" applyFont="1" applyBorder="1" applyAlignment="1">
      <alignment vertical="center"/>
    </xf>
    <xf numFmtId="14" fontId="24" fillId="0" borderId="15" xfId="0" applyNumberFormat="1" applyFont="1" applyBorder="1" applyAlignment="1">
      <alignment horizontal="center" vertical="center"/>
    </xf>
    <xf numFmtId="176" fontId="24" fillId="0" borderId="12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0" fontId="24" fillId="0" borderId="12" xfId="0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41" fontId="6" fillId="0" borderId="12" xfId="3" applyFont="1" applyBorder="1" applyAlignment="1">
      <alignment vertical="center"/>
    </xf>
    <xf numFmtId="179" fontId="6" fillId="0" borderId="12" xfId="3" applyNumberFormat="1" applyFont="1" applyBorder="1" applyAlignment="1">
      <alignment vertical="center"/>
    </xf>
    <xf numFmtId="179" fontId="0" fillId="0" borderId="12" xfId="0" applyNumberFormat="1" applyBorder="1" applyAlignment="1">
      <alignment vertical="center"/>
    </xf>
    <xf numFmtId="179" fontId="0" fillId="5" borderId="12" xfId="0" applyNumberFormat="1" applyFill="1" applyBorder="1" applyAlignment="1">
      <alignment vertical="center"/>
    </xf>
    <xf numFmtId="14" fontId="24" fillId="0" borderId="12" xfId="0" applyNumberFormat="1" applyFont="1" applyBorder="1" applyAlignment="1">
      <alignment vertical="center"/>
    </xf>
    <xf numFmtId="179" fontId="24" fillId="0" borderId="12" xfId="0" applyNumberFormat="1" applyFont="1" applyBorder="1" applyAlignment="1">
      <alignment vertical="center"/>
    </xf>
    <xf numFmtId="169" fontId="0" fillId="0" borderId="0" xfId="0" applyNumberFormat="1" applyAlignment="1">
      <alignment vertical="center"/>
    </xf>
    <xf numFmtId="8" fontId="0" fillId="0" borderId="0" xfId="0" applyNumberFormat="1" applyAlignment="1">
      <alignment vertical="center"/>
    </xf>
    <xf numFmtId="9" fontId="0" fillId="0" borderId="0" xfId="0" applyNumberFormat="1" applyAlignment="1">
      <alignment vertical="center"/>
    </xf>
    <xf numFmtId="178" fontId="6" fillId="0" borderId="0" xfId="3" applyNumberFormat="1" applyFont="1" applyAlignment="1">
      <alignment vertical="center"/>
    </xf>
    <xf numFmtId="14" fontId="6" fillId="0" borderId="0" xfId="3" applyNumberFormat="1" applyFont="1" applyAlignment="1">
      <alignment vertical="center"/>
    </xf>
    <xf numFmtId="41" fontId="24" fillId="4" borderId="12" xfId="3" applyNumberFormat="1" applyFont="1" applyFill="1" applyBorder="1" applyAlignment="1">
      <alignment vertical="center"/>
    </xf>
    <xf numFmtId="176" fontId="24" fillId="4" borderId="12" xfId="0" applyNumberFormat="1" applyFont="1" applyFill="1" applyBorder="1" applyAlignment="1">
      <alignment horizontal="center" vertical="center"/>
    </xf>
    <xf numFmtId="14" fontId="0" fillId="4" borderId="12" xfId="0" applyNumberForma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inden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27" fillId="0" borderId="0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right" vertical="center"/>
    </xf>
    <xf numFmtId="0" fontId="30" fillId="0" borderId="12" xfId="0" applyFont="1" applyFill="1" applyBorder="1" applyAlignment="1">
      <alignment horizontal="left" vertical="center" indent="1"/>
    </xf>
    <xf numFmtId="180" fontId="30" fillId="0" borderId="12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horizontal="left" vertical="center" indent="1"/>
    </xf>
    <xf numFmtId="0" fontId="32" fillId="0" borderId="12" xfId="0" applyFont="1" applyBorder="1" applyAlignment="1">
      <alignment horizontal="left" vertical="center" indent="1"/>
    </xf>
    <xf numFmtId="0" fontId="32" fillId="0" borderId="0" xfId="0" applyFont="1" applyBorder="1" applyAlignment="1">
      <alignment horizontal="left" vertical="center" indent="1"/>
    </xf>
    <xf numFmtId="180" fontId="30" fillId="0" borderId="0" xfId="0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0" fontId="33" fillId="0" borderId="12" xfId="0" applyFont="1" applyBorder="1" applyAlignment="1">
      <alignment horizontal="left" vertical="center" indent="1"/>
    </xf>
    <xf numFmtId="0" fontId="33" fillId="0" borderId="12" xfId="0" applyFont="1" applyBorder="1" applyAlignment="1">
      <alignment horizontal="right" vertical="center"/>
    </xf>
    <xf numFmtId="0" fontId="27" fillId="6" borderId="12" xfId="0" applyFont="1" applyFill="1" applyBorder="1" applyAlignment="1">
      <alignment horizontal="left" vertical="center" indent="1"/>
    </xf>
    <xf numFmtId="180" fontId="27" fillId="6" borderId="12" xfId="0" applyNumberFormat="1" applyFont="1" applyFill="1" applyBorder="1" applyAlignment="1">
      <alignment horizontal="right" vertical="center"/>
    </xf>
    <xf numFmtId="3" fontId="27" fillId="6" borderId="12" xfId="0" applyNumberFormat="1" applyFont="1" applyFill="1" applyBorder="1" applyAlignment="1">
      <alignment horizontal="right" vertical="center"/>
    </xf>
    <xf numFmtId="0" fontId="32" fillId="0" borderId="0" xfId="0" applyFont="1" applyAlignment="1">
      <alignment vertical="center"/>
    </xf>
    <xf numFmtId="180" fontId="32" fillId="0" borderId="12" xfId="0" applyNumberFormat="1" applyFont="1" applyBorder="1" applyAlignment="1">
      <alignment horizontal="right" vertical="center"/>
    </xf>
    <xf numFmtId="3" fontId="32" fillId="0" borderId="12" xfId="0" applyNumberFormat="1" applyFont="1" applyBorder="1" applyAlignment="1">
      <alignment horizontal="right" vertical="center"/>
    </xf>
    <xf numFmtId="0" fontId="32" fillId="0" borderId="12" xfId="0" applyFont="1" applyBorder="1" applyAlignment="1">
      <alignment horizontal="left" vertical="center" indent="2"/>
    </xf>
    <xf numFmtId="0" fontId="32" fillId="0" borderId="0" xfId="0" applyFont="1" applyBorder="1" applyAlignment="1">
      <alignment horizontal="left" vertical="center" indent="2"/>
    </xf>
    <xf numFmtId="180" fontId="32" fillId="0" borderId="0" xfId="0" applyNumberFormat="1" applyFont="1" applyBorder="1" applyAlignment="1">
      <alignment horizontal="right" vertical="center"/>
    </xf>
    <xf numFmtId="3" fontId="32" fillId="0" borderId="0" xfId="0" applyNumberFormat="1" applyFont="1" applyBorder="1" applyAlignment="1">
      <alignment horizontal="right" vertical="center"/>
    </xf>
    <xf numFmtId="0" fontId="32" fillId="0" borderId="12" xfId="0" applyFont="1" applyBorder="1" applyAlignment="1">
      <alignment horizontal="right" vertical="center"/>
    </xf>
    <xf numFmtId="0" fontId="27" fillId="7" borderId="12" xfId="0" applyFont="1" applyFill="1" applyBorder="1" applyAlignment="1">
      <alignment horizontal="left" vertical="center" indent="1"/>
    </xf>
    <xf numFmtId="180" fontId="27" fillId="7" borderId="12" xfId="0" applyNumberFormat="1" applyFont="1" applyFill="1" applyBorder="1" applyAlignment="1">
      <alignment horizontal="right" vertical="center"/>
    </xf>
    <xf numFmtId="3" fontId="27" fillId="7" borderId="12" xfId="0" applyNumberFormat="1" applyFont="1" applyFill="1" applyBorder="1" applyAlignment="1">
      <alignment horizontal="right" vertical="center"/>
    </xf>
    <xf numFmtId="169" fontId="32" fillId="0" borderId="12" xfId="7" applyNumberFormat="1" applyFont="1" applyBorder="1" applyAlignment="1">
      <alignment horizontal="right" vertical="center"/>
    </xf>
    <xf numFmtId="10" fontId="32" fillId="0" borderId="12" xfId="7" applyNumberFormat="1" applyFont="1" applyBorder="1" applyAlignment="1">
      <alignment horizontal="right" vertical="center"/>
    </xf>
    <xf numFmtId="170" fontId="27" fillId="3" borderId="12" xfId="0" applyNumberFormat="1" applyFont="1" applyFill="1" applyBorder="1" applyAlignment="1">
      <alignment horizontal="right" vertical="center"/>
    </xf>
    <xf numFmtId="180" fontId="26" fillId="0" borderId="0" xfId="0" applyNumberFormat="1" applyFont="1" applyAlignment="1">
      <alignment horizontal="right" vertical="center"/>
    </xf>
    <xf numFmtId="0" fontId="27" fillId="8" borderId="12" xfId="0" applyFont="1" applyFill="1" applyBorder="1" applyAlignment="1">
      <alignment horizontal="left" vertical="center" indent="1"/>
    </xf>
    <xf numFmtId="169" fontId="27" fillId="8" borderId="12" xfId="0" applyNumberFormat="1" applyFont="1" applyFill="1" applyBorder="1" applyAlignment="1">
      <alignment horizontal="right" vertical="center"/>
    </xf>
    <xf numFmtId="0" fontId="34" fillId="0" borderId="12" xfId="0" applyFont="1" applyBorder="1" applyAlignment="1">
      <alignment horizontal="left" vertical="center" indent="1"/>
    </xf>
    <xf numFmtId="180" fontId="34" fillId="0" borderId="12" xfId="0" applyNumberFormat="1" applyFont="1" applyBorder="1" applyAlignment="1">
      <alignment horizontal="right" vertical="center"/>
    </xf>
    <xf numFmtId="172" fontId="34" fillId="0" borderId="12" xfId="0" applyNumberFormat="1" applyFont="1" applyBorder="1" applyAlignment="1">
      <alignment horizontal="right" vertical="center"/>
    </xf>
    <xf numFmtId="0" fontId="34" fillId="0" borderId="13" xfId="0" applyFont="1" applyBorder="1" applyAlignment="1">
      <alignment horizontal="left" vertical="center" indent="1"/>
    </xf>
    <xf numFmtId="170" fontId="34" fillId="0" borderId="12" xfId="0" applyNumberFormat="1" applyFont="1" applyBorder="1" applyAlignment="1">
      <alignment horizontal="right" vertical="center"/>
    </xf>
    <xf numFmtId="4" fontId="32" fillId="0" borderId="12" xfId="0" applyNumberFormat="1" applyFont="1" applyBorder="1" applyAlignment="1">
      <alignment horizontal="right" vertical="center"/>
    </xf>
    <xf numFmtId="170" fontId="32" fillId="0" borderId="12" xfId="0" applyNumberFormat="1" applyFont="1" applyBorder="1" applyAlignment="1">
      <alignment horizontal="right" vertical="center"/>
    </xf>
    <xf numFmtId="0" fontId="24" fillId="0" borderId="0" xfId="0" applyFont="1"/>
    <xf numFmtId="41" fontId="24" fillId="0" borderId="0" xfId="3" applyFont="1"/>
    <xf numFmtId="0" fontId="24" fillId="0" borderId="12" xfId="0" applyFont="1" applyBorder="1"/>
    <xf numFmtId="0" fontId="24" fillId="0" borderId="12" xfId="0" applyFont="1" applyBorder="1" applyAlignment="1">
      <alignment horizontal="right"/>
    </xf>
    <xf numFmtId="41" fontId="24" fillId="0" borderId="12" xfId="3" applyFont="1" applyBorder="1" applyAlignment="1">
      <alignment horizontal="right"/>
    </xf>
    <xf numFmtId="0" fontId="0" fillId="0" borderId="12" xfId="0" applyBorder="1"/>
    <xf numFmtId="14" fontId="0" fillId="0" borderId="12" xfId="0" applyNumberFormat="1" applyBorder="1"/>
    <xf numFmtId="41" fontId="6" fillId="0" borderId="12" xfId="3" applyFont="1" applyBorder="1"/>
    <xf numFmtId="179" fontId="6" fillId="0" borderId="12" xfId="3" applyNumberFormat="1" applyFont="1" applyBorder="1"/>
    <xf numFmtId="179" fontId="0" fillId="0" borderId="12" xfId="0" applyNumberFormat="1" applyBorder="1"/>
    <xf numFmtId="179" fontId="0" fillId="5" borderId="12" xfId="0" applyNumberFormat="1" applyFill="1" applyBorder="1"/>
    <xf numFmtId="41" fontId="6" fillId="0" borderId="0" xfId="3" applyFont="1"/>
    <xf numFmtId="43" fontId="0" fillId="0" borderId="0" xfId="0" applyNumberFormat="1"/>
    <xf numFmtId="169" fontId="0" fillId="0" borderId="0" xfId="0" applyNumberFormat="1"/>
    <xf numFmtId="8" fontId="0" fillId="0" borderId="0" xfId="0" applyNumberFormat="1"/>
    <xf numFmtId="9" fontId="0" fillId="0" borderId="0" xfId="0" applyNumberFormat="1"/>
    <xf numFmtId="178" fontId="6" fillId="0" borderId="0" xfId="3" applyNumberFormat="1" applyFont="1"/>
    <xf numFmtId="14" fontId="6" fillId="0" borderId="0" xfId="3" applyNumberFormat="1" applyFont="1"/>
    <xf numFmtId="0" fontId="24" fillId="0" borderId="12" xfId="5" applyFont="1" applyFill="1" applyBorder="1" applyAlignment="1">
      <alignment horizontal="left" vertical="center" indent="1"/>
    </xf>
    <xf numFmtId="0" fontId="36" fillId="0" borderId="12" xfId="5" applyFont="1" applyFill="1" applyBorder="1" applyAlignment="1">
      <alignment horizontal="left" vertical="center" indent="1"/>
    </xf>
    <xf numFmtId="0" fontId="27" fillId="3" borderId="12" xfId="6" applyFont="1" applyFill="1" applyBorder="1" applyAlignment="1">
      <alignment horizontal="left" vertical="center" indent="1"/>
    </xf>
    <xf numFmtId="10" fontId="27" fillId="3" borderId="12" xfId="7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vertical="center" indent="2"/>
    </xf>
    <xf numFmtId="180" fontId="34" fillId="0" borderId="12" xfId="0" applyNumberFormat="1" applyFont="1" applyFill="1" applyBorder="1" applyAlignment="1">
      <alignment horizontal="right" vertical="center"/>
    </xf>
    <xf numFmtId="180" fontId="32" fillId="4" borderId="12" xfId="0" applyNumberFormat="1" applyFont="1" applyFill="1" applyBorder="1" applyAlignment="1">
      <alignment horizontal="center" vertical="center"/>
    </xf>
    <xf numFmtId="10" fontId="30" fillId="4" borderId="12" xfId="7" applyNumberFormat="1" applyFont="1" applyFill="1" applyBorder="1" applyAlignment="1">
      <alignment horizontal="right" vertical="center" indent="1"/>
    </xf>
    <xf numFmtId="169" fontId="30" fillId="4" borderId="12" xfId="7" applyNumberFormat="1" applyFont="1" applyFill="1" applyBorder="1" applyAlignment="1" applyProtection="1">
      <alignment horizontal="right" vertical="center" indent="1"/>
      <protection locked="0"/>
    </xf>
    <xf numFmtId="169" fontId="30" fillId="4" borderId="12" xfId="7" applyNumberFormat="1" applyFont="1" applyFill="1" applyBorder="1" applyAlignment="1">
      <alignment horizontal="right" vertical="center" indent="1"/>
    </xf>
    <xf numFmtId="0" fontId="35" fillId="0" borderId="0" xfId="0" applyFont="1" applyFill="1" applyAlignment="1">
      <alignment horizontal="left" vertical="center" wrapText="1" indent="1"/>
    </xf>
    <xf numFmtId="0" fontId="32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/>
    </xf>
    <xf numFmtId="0" fontId="0" fillId="2" borderId="0" xfId="0" applyFill="1"/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3" fillId="2" borderId="0" xfId="0" applyFont="1" applyFill="1" applyAlignment="1">
      <alignment horizontal="center"/>
    </xf>
    <xf numFmtId="0" fontId="10" fillId="2" borderId="12" xfId="0" applyFont="1" applyFill="1" applyBorder="1"/>
    <xf numFmtId="0" fontId="10" fillId="2" borderId="12" xfId="0" applyFont="1" applyFill="1" applyBorder="1" applyAlignment="1">
      <alignment horizontal="center"/>
    </xf>
    <xf numFmtId="3" fontId="10" fillId="2" borderId="12" xfId="0" applyNumberFormat="1" applyFont="1" applyFill="1" applyBorder="1" applyAlignment="1"/>
    <xf numFmtId="3" fontId="11" fillId="2" borderId="12" xfId="0" applyNumberFormat="1" applyFont="1" applyFill="1" applyBorder="1" applyAlignment="1">
      <alignment horizontal="center"/>
    </xf>
    <xf numFmtId="0" fontId="10" fillId="2" borderId="0" xfId="0" applyFont="1" applyFill="1"/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3" fontId="10" fillId="2" borderId="0" xfId="0" applyNumberFormat="1" applyFont="1" applyFill="1" applyAlignment="1"/>
    <xf numFmtId="3" fontId="11" fillId="2" borderId="0" xfId="0" applyNumberFormat="1" applyFont="1" applyFill="1" applyAlignment="1">
      <alignment horizontal="center"/>
    </xf>
    <xf numFmtId="0" fontId="10" fillId="2" borderId="12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/>
    <xf numFmtId="0" fontId="11" fillId="2" borderId="12" xfId="0" applyFont="1" applyFill="1" applyBorder="1" applyAlignment="1">
      <alignment horizontal="center"/>
    </xf>
    <xf numFmtId="0" fontId="10" fillId="2" borderId="0" xfId="0" applyFont="1" applyFill="1" applyBorder="1" applyAlignment="1" applyProtection="1">
      <alignment horizontal="center" vertical="center"/>
    </xf>
    <xf numFmtId="0" fontId="10" fillId="2" borderId="0" xfId="0" applyFont="1" applyFill="1" applyAlignment="1"/>
    <xf numFmtId="0" fontId="11" fillId="2" borderId="0" xfId="0" applyFont="1" applyFill="1" applyAlignment="1">
      <alignment horizontal="center"/>
    </xf>
    <xf numFmtId="0" fontId="10" fillId="2" borderId="12" xfId="0" applyFont="1" applyFill="1" applyBorder="1" applyAlignment="1">
      <alignment horizontal="left" vertical="center"/>
    </xf>
    <xf numFmtId="164" fontId="10" fillId="2" borderId="12" xfId="1" applyFont="1" applyFill="1" applyBorder="1" applyAlignment="1">
      <alignment horizontal="center"/>
    </xf>
    <xf numFmtId="164" fontId="11" fillId="2" borderId="12" xfId="1" applyFont="1" applyFill="1" applyBorder="1" applyAlignment="1">
      <alignment horizontal="center"/>
    </xf>
    <xf numFmtId="0" fontId="10" fillId="2" borderId="0" xfId="0" applyFont="1" applyFill="1" applyAlignment="1">
      <alignment horizontal="left" vertical="center"/>
    </xf>
    <xf numFmtId="164" fontId="10" fillId="2" borderId="0" xfId="1" applyFont="1" applyFill="1" applyAlignment="1">
      <alignment horizontal="center"/>
    </xf>
    <xf numFmtId="164" fontId="11" fillId="2" borderId="0" xfId="1" applyFont="1" applyFill="1" applyAlignment="1">
      <alignment horizontal="center"/>
    </xf>
    <xf numFmtId="3" fontId="10" fillId="2" borderId="12" xfId="0" applyNumberFormat="1" applyFont="1" applyFill="1" applyBorder="1" applyAlignment="1">
      <alignment horizontal="center"/>
    </xf>
    <xf numFmtId="3" fontId="10" fillId="2" borderId="0" xfId="0" applyNumberFormat="1" applyFont="1" applyFill="1" applyAlignment="1">
      <alignment horizontal="center"/>
    </xf>
    <xf numFmtId="4" fontId="10" fillId="2" borderId="12" xfId="0" applyNumberFormat="1" applyFont="1" applyFill="1" applyBorder="1" applyAlignment="1">
      <alignment horizontal="center"/>
    </xf>
    <xf numFmtId="4" fontId="11" fillId="2" borderId="12" xfId="0" applyNumberFormat="1" applyFont="1" applyFill="1" applyBorder="1" applyAlignment="1">
      <alignment horizontal="center"/>
    </xf>
    <xf numFmtId="4" fontId="10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0" fontId="11" fillId="2" borderId="0" xfId="0" applyFont="1" applyFill="1"/>
    <xf numFmtId="167" fontId="10" fillId="2" borderId="12" xfId="0" applyNumberFormat="1" applyFont="1" applyFill="1" applyBorder="1" applyAlignment="1">
      <alignment horizontal="center"/>
    </xf>
    <xf numFmtId="171" fontId="11" fillId="2" borderId="12" xfId="0" applyNumberFormat="1" applyFont="1" applyFill="1" applyBorder="1" applyAlignment="1">
      <alignment horizontal="center"/>
    </xf>
    <xf numFmtId="167" fontId="10" fillId="2" borderId="0" xfId="0" applyNumberFormat="1" applyFont="1" applyFill="1" applyAlignment="1">
      <alignment horizontal="center"/>
    </xf>
    <xf numFmtId="171" fontId="11" fillId="2" borderId="0" xfId="0" applyNumberFormat="1" applyFont="1" applyFill="1" applyAlignment="1">
      <alignment horizontal="center"/>
    </xf>
    <xf numFmtId="0" fontId="13" fillId="2" borderId="0" xfId="0" applyFont="1" applyFill="1"/>
    <xf numFmtId="0" fontId="11" fillId="2" borderId="0" xfId="0" applyFont="1" applyFill="1" applyBorder="1" applyAlignment="1">
      <alignment horizontal="center"/>
    </xf>
    <xf numFmtId="0" fontId="0" fillId="2" borderId="0" xfId="0" applyFill="1" applyAlignment="1">
      <alignment horizontal="left" vertical="center"/>
    </xf>
    <xf numFmtId="167" fontId="0" fillId="2" borderId="0" xfId="0" applyNumberFormat="1" applyFill="1" applyAlignment="1">
      <alignment horizontal="center"/>
    </xf>
    <xf numFmtId="171" fontId="13" fillId="2" borderId="0" xfId="0" applyNumberFormat="1" applyFont="1" applyFill="1" applyAlignment="1">
      <alignment horizontal="center"/>
    </xf>
    <xf numFmtId="0" fontId="10" fillId="2" borderId="14" xfId="0" applyFont="1" applyFill="1" applyBorder="1"/>
    <xf numFmtId="0" fontId="10" fillId="2" borderId="15" xfId="0" applyFont="1" applyFill="1" applyBorder="1"/>
    <xf numFmtId="0" fontId="11" fillId="9" borderId="12" xfId="0" applyFont="1" applyFill="1" applyBorder="1"/>
    <xf numFmtId="0" fontId="11" fillId="9" borderId="12" xfId="0" applyFont="1" applyFill="1" applyBorder="1" applyAlignment="1">
      <alignment horizontal="center"/>
    </xf>
    <xf numFmtId="164" fontId="11" fillId="9" borderId="12" xfId="1" applyFont="1" applyFill="1" applyBorder="1" applyAlignment="1">
      <alignment horizontal="center"/>
    </xf>
    <xf numFmtId="167" fontId="0" fillId="0" borderId="12" xfId="0" applyNumberFormat="1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9" fontId="0" fillId="0" borderId="12" xfId="7" applyFont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8" xfId="0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9" fontId="0" fillId="0" borderId="16" xfId="7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23" xfId="0" applyBorder="1" applyAlignment="1">
      <alignment horizontal="center"/>
    </xf>
    <xf numFmtId="9" fontId="0" fillId="0" borderId="17" xfId="7" applyFont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4" xfId="0" applyBorder="1" applyAlignment="1">
      <alignment horizontal="center"/>
    </xf>
    <xf numFmtId="9" fontId="0" fillId="0" borderId="14" xfId="7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9" fontId="0" fillId="0" borderId="16" xfId="7" applyFont="1" applyFill="1" applyBorder="1" applyAlignment="1">
      <alignment horizontal="center"/>
    </xf>
    <xf numFmtId="167" fontId="0" fillId="0" borderId="16" xfId="0" applyNumberFormat="1" applyFill="1" applyBorder="1" applyAlignment="1">
      <alignment horizontal="center"/>
    </xf>
    <xf numFmtId="0" fontId="0" fillId="0" borderId="12" xfId="0" applyBorder="1" applyAlignment="1"/>
    <xf numFmtId="0" fontId="19" fillId="0" borderId="0" xfId="0" applyFont="1" applyFill="1" applyAlignment="1" applyProtection="1">
      <alignment wrapText="1"/>
      <protection hidden="1"/>
    </xf>
    <xf numFmtId="0" fontId="19" fillId="0" borderId="12" xfId="0" applyFont="1" applyFill="1" applyBorder="1" applyProtection="1">
      <protection hidden="1"/>
    </xf>
    <xf numFmtId="0" fontId="19" fillId="0" borderId="12" xfId="0" applyFont="1" applyFill="1" applyBorder="1" applyAlignment="1" applyProtection="1">
      <alignment wrapText="1"/>
      <protection hidden="1"/>
    </xf>
    <xf numFmtId="0" fontId="14" fillId="0" borderId="12" xfId="0" applyFont="1" applyFill="1" applyBorder="1" applyProtection="1">
      <protection hidden="1"/>
    </xf>
    <xf numFmtId="0" fontId="19" fillId="0" borderId="12" xfId="0" applyFont="1" applyFill="1" applyBorder="1" applyAlignment="1" applyProtection="1">
      <alignment horizontal="center"/>
      <protection hidden="1"/>
    </xf>
    <xf numFmtId="0" fontId="19" fillId="0" borderId="13" xfId="0" applyFont="1" applyFill="1" applyBorder="1" applyAlignment="1" applyProtection="1">
      <protection hidden="1"/>
    </xf>
    <xf numFmtId="0" fontId="0" fillId="0" borderId="26" xfId="0" applyBorder="1" applyAlignment="1"/>
    <xf numFmtId="0" fontId="19" fillId="0" borderId="18" xfId="0" applyFont="1" applyFill="1" applyBorder="1" applyAlignment="1" applyProtection="1">
      <protection hidden="1"/>
    </xf>
    <xf numFmtId="0" fontId="19" fillId="0" borderId="21" xfId="0" applyFont="1" applyFill="1" applyBorder="1" applyAlignment="1" applyProtection="1">
      <protection hidden="1"/>
    </xf>
    <xf numFmtId="0" fontId="19" fillId="0" borderId="23" xfId="0" applyFont="1" applyFill="1" applyBorder="1" applyAlignment="1" applyProtection="1">
      <protection hidden="1"/>
    </xf>
    <xf numFmtId="0" fontId="19" fillId="0" borderId="27" xfId="0" applyFont="1" applyFill="1" applyBorder="1" applyAlignment="1" applyProtection="1">
      <protection hidden="1"/>
    </xf>
    <xf numFmtId="0" fontId="19" fillId="0" borderId="24" xfId="0" applyFont="1" applyFill="1" applyBorder="1" applyAlignment="1" applyProtection="1">
      <protection hidden="1"/>
    </xf>
    <xf numFmtId="2" fontId="0" fillId="0" borderId="16" xfId="0" applyNumberFormat="1" applyBorder="1" applyAlignment="1">
      <alignment horizontal="center"/>
    </xf>
    <xf numFmtId="9" fontId="0" fillId="0" borderId="15" xfId="7" applyFont="1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8" xfId="0" applyBorder="1" applyAlignment="1">
      <alignment horizontal="center"/>
    </xf>
    <xf numFmtId="0" fontId="19" fillId="0" borderId="12" xfId="0" applyFont="1" applyFill="1" applyBorder="1" applyAlignment="1" applyProtection="1">
      <protection hidden="1"/>
    </xf>
    <xf numFmtId="2" fontId="0" fillId="0" borderId="12" xfId="0" applyNumberForma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0" fontId="0" fillId="0" borderId="24" xfId="0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73" fontId="19" fillId="0" borderId="12" xfId="0" applyNumberFormat="1" applyFont="1" applyFill="1" applyBorder="1" applyProtection="1">
      <protection hidden="1"/>
    </xf>
    <xf numFmtId="166" fontId="20" fillId="0" borderId="12" xfId="2" applyNumberFormat="1" applyFont="1" applyFill="1" applyBorder="1" applyAlignment="1" applyProtection="1">
      <alignment horizontal="center"/>
      <protection hidden="1"/>
    </xf>
    <xf numFmtId="0" fontId="19" fillId="0" borderId="16" xfId="0" applyFont="1" applyFill="1" applyBorder="1" applyAlignment="1" applyProtection="1">
      <alignment horizontal="center"/>
      <protection hidden="1"/>
    </xf>
    <xf numFmtId="0" fontId="19" fillId="0" borderId="16" xfId="0" applyFont="1" applyFill="1" applyBorder="1" applyProtection="1">
      <protection hidden="1"/>
    </xf>
    <xf numFmtId="0" fontId="19" fillId="0" borderId="17" xfId="0" applyFont="1" applyFill="1" applyBorder="1" applyAlignment="1" applyProtection="1">
      <alignment horizontal="center"/>
      <protection hidden="1"/>
    </xf>
    <xf numFmtId="0" fontId="19" fillId="0" borderId="17" xfId="0" applyFont="1" applyFill="1" applyBorder="1" applyProtection="1">
      <protection hidden="1"/>
    </xf>
    <xf numFmtId="0" fontId="0" fillId="0" borderId="27" xfId="0" applyBorder="1"/>
    <xf numFmtId="0" fontId="0" fillId="0" borderId="15" xfId="0" applyBorder="1"/>
    <xf numFmtId="0" fontId="19" fillId="0" borderId="29" xfId="0" applyFont="1" applyFill="1" applyBorder="1" applyProtection="1">
      <protection hidden="1"/>
    </xf>
    <xf numFmtId="0" fontId="19" fillId="0" borderId="29" xfId="0" applyFont="1" applyFill="1" applyBorder="1" applyAlignment="1" applyProtection="1">
      <alignment horizontal="center"/>
      <protection hidden="1"/>
    </xf>
    <xf numFmtId="0" fontId="19" fillId="0" borderId="30" xfId="0" applyFont="1" applyFill="1" applyBorder="1" applyAlignment="1" applyProtection="1">
      <protection hidden="1"/>
    </xf>
    <xf numFmtId="0" fontId="0" fillId="0" borderId="31" xfId="0" applyBorder="1" applyAlignment="1">
      <alignment horizontal="center"/>
    </xf>
    <xf numFmtId="9" fontId="0" fillId="0" borderId="0" xfId="7" applyFont="1" applyFill="1" applyBorder="1" applyAlignment="1">
      <alignment horizontal="right"/>
    </xf>
    <xf numFmtId="43" fontId="0" fillId="0" borderId="0" xfId="2" applyFont="1"/>
    <xf numFmtId="9" fontId="0" fillId="0" borderId="20" xfId="7" applyFont="1" applyBorder="1" applyAlignment="1">
      <alignment horizontal="center"/>
    </xf>
    <xf numFmtId="9" fontId="0" fillId="0" borderId="22" xfId="7" applyFont="1" applyBorder="1" applyAlignment="1">
      <alignment horizontal="center"/>
    </xf>
    <xf numFmtId="9" fontId="0" fillId="0" borderId="19" xfId="7" applyFont="1" applyBorder="1" applyAlignment="1">
      <alignment horizontal="center"/>
    </xf>
    <xf numFmtId="2" fontId="0" fillId="0" borderId="16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0" fontId="0" fillId="0" borderId="0" xfId="7" applyNumberFormat="1" applyFont="1"/>
    <xf numFmtId="0" fontId="30" fillId="0" borderId="0" xfId="0" applyFont="1"/>
    <xf numFmtId="2" fontId="0" fillId="0" borderId="0" xfId="0" applyNumberFormat="1"/>
    <xf numFmtId="0" fontId="14" fillId="2" borderId="12" xfId="0" applyFont="1" applyFill="1" applyBorder="1" applyAlignment="1">
      <alignment vertical="center"/>
    </xf>
    <xf numFmtId="2" fontId="0" fillId="0" borderId="12" xfId="0" applyNumberFormat="1" applyBorder="1"/>
    <xf numFmtId="2" fontId="0" fillId="0" borderId="0" xfId="0" applyNumberFormat="1" applyFill="1" applyBorder="1"/>
    <xf numFmtId="0" fontId="0" fillId="0" borderId="8" xfId="0" applyBorder="1"/>
    <xf numFmtId="2" fontId="0" fillId="0" borderId="32" xfId="0" applyNumberFormat="1" applyFill="1" applyBorder="1"/>
    <xf numFmtId="0" fontId="0" fillId="0" borderId="33" xfId="0" applyBorder="1"/>
    <xf numFmtId="0" fontId="0" fillId="0" borderId="34" xfId="0" applyBorder="1"/>
    <xf numFmtId="1" fontId="10" fillId="0" borderId="12" xfId="2" applyNumberFormat="1" applyFont="1" applyFill="1" applyBorder="1" applyAlignment="1" applyProtection="1">
      <alignment horizontal="right" vertical="center"/>
      <protection locked="0"/>
    </xf>
    <xf numFmtId="0" fontId="0" fillId="10" borderId="0" xfId="0" applyFill="1"/>
    <xf numFmtId="0" fontId="0" fillId="10" borderId="3" xfId="0" applyFill="1" applyBorder="1"/>
    <xf numFmtId="0" fontId="0" fillId="10" borderId="5" xfId="0" applyFill="1" applyBorder="1"/>
    <xf numFmtId="0" fontId="0" fillId="10" borderId="8" xfId="0" applyFill="1" applyBorder="1"/>
    <xf numFmtId="0" fontId="0" fillId="10" borderId="7" xfId="0" applyFill="1" applyBorder="1"/>
    <xf numFmtId="0" fontId="0" fillId="10" borderId="12" xfId="0" applyFill="1" applyBorder="1"/>
    <xf numFmtId="1" fontId="0" fillId="0" borderId="6" xfId="0" applyNumberFormat="1" applyBorder="1"/>
    <xf numFmtId="0" fontId="0" fillId="0" borderId="2" xfId="0" applyBorder="1"/>
    <xf numFmtId="0" fontId="23" fillId="0" borderId="0" xfId="0" applyFont="1" applyBorder="1"/>
    <xf numFmtId="171" fontId="23" fillId="2" borderId="0" xfId="2" applyNumberFormat="1" applyFont="1" applyFill="1" applyBorder="1" applyAlignment="1" applyProtection="1">
      <alignment horizontal="center" vertical="center"/>
      <protection hidden="1"/>
    </xf>
    <xf numFmtId="171" fontId="23" fillId="2" borderId="6" xfId="2" applyNumberFormat="1" applyFont="1" applyFill="1" applyBorder="1" applyAlignment="1" applyProtection="1">
      <alignment horizontal="center" vertical="center"/>
      <protection hidden="1"/>
    </xf>
    <xf numFmtId="171" fontId="0" fillId="0" borderId="6" xfId="0" applyNumberFormat="1" applyBorder="1"/>
    <xf numFmtId="171" fontId="0" fillId="0" borderId="0" xfId="0" applyNumberFormat="1" applyBorder="1"/>
    <xf numFmtId="0" fontId="0" fillId="10" borderId="6" xfId="0" applyFill="1" applyBorder="1"/>
    <xf numFmtId="0" fontId="0" fillId="10" borderId="0" xfId="0" applyFill="1" applyBorder="1"/>
    <xf numFmtId="0" fontId="0" fillId="10" borderId="1" xfId="0" applyFill="1" applyBorder="1"/>
    <xf numFmtId="171" fontId="12" fillId="10" borderId="2" xfId="2" applyNumberFormat="1" applyFont="1" applyFill="1" applyBorder="1" applyAlignment="1" applyProtection="1">
      <alignment horizontal="center" vertical="center"/>
      <protection hidden="1"/>
    </xf>
    <xf numFmtId="0" fontId="0" fillId="10" borderId="2" xfId="0" applyFill="1" applyBorder="1"/>
    <xf numFmtId="0" fontId="0" fillId="10" borderId="4" xfId="0" applyFill="1" applyBorder="1"/>
    <xf numFmtId="0" fontId="0" fillId="0" borderId="0" xfId="0" applyFill="1" applyBorder="1" applyAlignment="1">
      <alignment horizontal="center" vertical="center"/>
    </xf>
    <xf numFmtId="9" fontId="0" fillId="0" borderId="0" xfId="7" applyFont="1" applyBorder="1" applyAlignment="1">
      <alignment horizontal="right"/>
    </xf>
    <xf numFmtId="0" fontId="0" fillId="0" borderId="0" xfId="0" applyBorder="1" applyAlignment="1">
      <alignment horizontal="right"/>
    </xf>
    <xf numFmtId="1" fontId="0" fillId="0" borderId="0" xfId="7" applyNumberFormat="1" applyFont="1" applyBorder="1" applyAlignment="1">
      <alignment horizontal="center"/>
    </xf>
    <xf numFmtId="2" fontId="0" fillId="0" borderId="0" xfId="7" applyNumberFormat="1" applyFont="1" applyBorder="1" applyAlignment="1">
      <alignment horizontal="center"/>
    </xf>
    <xf numFmtId="2" fontId="0" fillId="0" borderId="0" xfId="7" applyNumberFormat="1" applyFont="1" applyFill="1" applyBorder="1" applyAlignment="1" applyProtection="1">
      <alignment horizontal="center"/>
      <protection locked="0"/>
    </xf>
    <xf numFmtId="2" fontId="0" fillId="0" borderId="0" xfId="0" applyNumberForma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Border="1"/>
    <xf numFmtId="2" fontId="0" fillId="0" borderId="0" xfId="7" applyNumberFormat="1" applyFont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0" fillId="10" borderId="0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/>
    </xf>
    <xf numFmtId="2" fontId="0" fillId="10" borderId="0" xfId="0" applyNumberFormat="1" applyFill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0" fontId="0" fillId="0" borderId="32" xfId="0" applyBorder="1"/>
    <xf numFmtId="0" fontId="0" fillId="0" borderId="35" xfId="0" applyBorder="1"/>
    <xf numFmtId="0" fontId="9" fillId="2" borderId="0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Alignment="1" applyProtection="1">
      <alignment vertical="center"/>
      <protection hidden="1"/>
    </xf>
    <xf numFmtId="4" fontId="9" fillId="2" borderId="0" xfId="2" applyNumberFormat="1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vertical="center"/>
      <protection locked="0" hidden="1"/>
    </xf>
    <xf numFmtId="0" fontId="40" fillId="2" borderId="0" xfId="0" applyFont="1" applyFill="1" applyBorder="1" applyAlignment="1" applyProtection="1">
      <alignment horizontal="center" vertical="center"/>
      <protection locked="0" hidden="1"/>
    </xf>
    <xf numFmtId="0" fontId="40" fillId="2" borderId="0" xfId="0" applyFont="1" applyFill="1" applyAlignment="1" applyProtection="1">
      <alignment horizontal="center" vertical="center"/>
      <protection locked="0" hidden="1"/>
    </xf>
    <xf numFmtId="0" fontId="41" fillId="2" borderId="0" xfId="0" applyFont="1" applyFill="1" applyBorder="1"/>
    <xf numFmtId="0" fontId="41" fillId="2" borderId="0" xfId="0" applyFont="1" applyFill="1" applyBorder="1" applyAlignment="1">
      <alignment horizontal="center"/>
    </xf>
    <xf numFmtId="0" fontId="15" fillId="2" borderId="0" xfId="0" applyFont="1" applyFill="1" applyBorder="1"/>
    <xf numFmtId="0" fontId="15" fillId="11" borderId="34" xfId="0" applyFont="1" applyFill="1" applyBorder="1" applyAlignment="1" applyProtection="1">
      <alignment horizontal="center"/>
      <protection hidden="1"/>
    </xf>
    <xf numFmtId="3" fontId="15" fillId="11" borderId="34" xfId="0" applyNumberFormat="1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>
      <alignment horizontal="center"/>
    </xf>
    <xf numFmtId="1" fontId="15" fillId="2" borderId="0" xfId="0" applyNumberFormat="1" applyFont="1" applyFill="1" applyBorder="1" applyAlignment="1">
      <alignment horizontal="center"/>
    </xf>
    <xf numFmtId="0" fontId="41" fillId="2" borderId="0" xfId="0" applyFont="1" applyFill="1" applyBorder="1" applyAlignment="1"/>
    <xf numFmtId="3" fontId="15" fillId="11" borderId="9" xfId="0" applyNumberFormat="1" applyFont="1" applyFill="1" applyBorder="1" applyAlignment="1" applyProtection="1">
      <alignment horizontal="center"/>
      <protection hidden="1"/>
    </xf>
    <xf numFmtId="0" fontId="41" fillId="2" borderId="6" xfId="0" applyFont="1" applyFill="1" applyBorder="1"/>
    <xf numFmtId="0" fontId="47" fillId="2" borderId="0" xfId="0" applyFont="1" applyFill="1" applyBorder="1" applyAlignment="1" applyProtection="1">
      <alignment horizontal="center"/>
      <protection locked="0" hidden="1"/>
    </xf>
    <xf numFmtId="0" fontId="47" fillId="2" borderId="0" xfId="0" applyFont="1" applyFill="1" applyBorder="1" applyProtection="1">
      <protection locked="0" hidden="1"/>
    </xf>
    <xf numFmtId="0" fontId="30" fillId="2" borderId="0" xfId="0" applyFont="1" applyFill="1" applyProtection="1">
      <protection locked="0" hidden="1"/>
    </xf>
    <xf numFmtId="0" fontId="41" fillId="2" borderId="0" xfId="0" applyFont="1" applyFill="1" applyProtection="1">
      <protection locked="0" hidden="1"/>
    </xf>
    <xf numFmtId="0" fontId="47" fillId="2" borderId="0" xfId="0" applyFont="1" applyFill="1" applyBorder="1"/>
    <xf numFmtId="0" fontId="41" fillId="2" borderId="0" xfId="0" applyFont="1" applyFill="1"/>
    <xf numFmtId="0" fontId="41" fillId="2" borderId="0" xfId="0" applyFont="1" applyFill="1" applyAlignment="1">
      <alignment horizontal="center"/>
    </xf>
    <xf numFmtId="0" fontId="42" fillId="2" borderId="0" xfId="0" applyFont="1" applyFill="1" applyBorder="1" applyProtection="1">
      <protection locked="0" hidden="1"/>
    </xf>
    <xf numFmtId="0" fontId="42" fillId="2" borderId="0" xfId="0" applyFont="1" applyFill="1" applyBorder="1"/>
    <xf numFmtId="0" fontId="30" fillId="2" borderId="0" xfId="0" applyFont="1" applyFill="1"/>
    <xf numFmtId="0" fontId="41" fillId="0" borderId="0" xfId="0" applyFont="1"/>
    <xf numFmtId="0" fontId="41" fillId="0" borderId="0" xfId="0" applyFont="1" applyAlignment="1">
      <alignment horizontal="center"/>
    </xf>
    <xf numFmtId="0" fontId="41" fillId="2" borderId="0" xfId="0" applyFont="1" applyFill="1" applyAlignment="1" applyProtection="1">
      <alignment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0" fillId="2" borderId="0" xfId="0" applyFont="1" applyFill="1" applyBorder="1" applyAlignment="1" applyProtection="1">
      <alignment vertical="center"/>
    </xf>
    <xf numFmtId="0" fontId="46" fillId="2" borderId="0" xfId="0" applyFont="1" applyFill="1" applyBorder="1" applyAlignment="1">
      <alignment vertical="center" wrapText="1"/>
    </xf>
    <xf numFmtId="0" fontId="46" fillId="2" borderId="0" xfId="0" applyFont="1" applyFill="1" applyBorder="1" applyAlignment="1">
      <alignment vertical="center"/>
    </xf>
    <xf numFmtId="0" fontId="48" fillId="2" borderId="0" xfId="0" applyFont="1" applyFill="1" applyAlignment="1" applyProtection="1">
      <alignment vertical="center"/>
    </xf>
    <xf numFmtId="0" fontId="41" fillId="2" borderId="0" xfId="0" applyFont="1" applyFill="1" applyBorder="1" applyAlignment="1" applyProtection="1">
      <alignment horizontal="center" vertical="center"/>
    </xf>
    <xf numFmtId="166" fontId="40" fillId="0" borderId="0" xfId="2" applyNumberFormat="1" applyFont="1" applyFill="1" applyBorder="1" applyAlignment="1" applyProtection="1">
      <alignment horizontal="right" vertical="center"/>
    </xf>
    <xf numFmtId="0" fontId="9" fillId="11" borderId="12" xfId="0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43" fontId="41" fillId="2" borderId="0" xfId="2" applyFont="1" applyFill="1" applyAlignment="1" applyProtection="1">
      <alignment vertical="center"/>
      <protection hidden="1"/>
    </xf>
    <xf numFmtId="0" fontId="41" fillId="2" borderId="0" xfId="0" applyFont="1" applyFill="1" applyAlignment="1" applyProtection="1">
      <alignment horizontal="right" vertical="center"/>
      <protection hidden="1"/>
    </xf>
    <xf numFmtId="0" fontId="41" fillId="2" borderId="0" xfId="0" applyFont="1" applyFill="1" applyAlignment="1" applyProtection="1">
      <alignment horizontal="left" vertical="center"/>
      <protection hidden="1"/>
    </xf>
    <xf numFmtId="0" fontId="48" fillId="2" borderId="0" xfId="0" applyFont="1" applyFill="1"/>
    <xf numFmtId="0" fontId="41" fillId="2" borderId="32" xfId="0" applyFont="1" applyFill="1" applyBorder="1" applyAlignment="1">
      <alignment horizontal="center"/>
    </xf>
    <xf numFmtId="0" fontId="41" fillId="2" borderId="35" xfId="0" applyFont="1" applyFill="1" applyBorder="1" applyAlignment="1">
      <alignment horizontal="center"/>
    </xf>
    <xf numFmtId="0" fontId="41" fillId="2" borderId="35" xfId="0" applyFont="1" applyFill="1" applyBorder="1"/>
    <xf numFmtId="0" fontId="41" fillId="2" borderId="33" xfId="0" applyFont="1" applyFill="1" applyBorder="1"/>
    <xf numFmtId="0" fontId="9" fillId="11" borderId="31" xfId="0" applyFont="1" applyFill="1" applyBorder="1" applyAlignment="1" applyProtection="1">
      <alignment horizontal="left" vertical="center"/>
      <protection hidden="1"/>
    </xf>
    <xf numFmtId="0" fontId="9" fillId="11" borderId="16" xfId="0" applyFont="1" applyFill="1" applyBorder="1" applyAlignment="1" applyProtection="1">
      <alignment horizontal="center" vertical="center"/>
      <protection hidden="1"/>
    </xf>
    <xf numFmtId="0" fontId="40" fillId="2" borderId="3" xfId="0" applyFont="1" applyFill="1" applyBorder="1" applyAlignment="1" applyProtection="1">
      <alignment vertical="center"/>
      <protection hidden="1"/>
    </xf>
    <xf numFmtId="0" fontId="41" fillId="2" borderId="1" xfId="0" applyFont="1" applyFill="1" applyBorder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vertical="center"/>
      <protection hidden="1"/>
    </xf>
    <xf numFmtId="170" fontId="15" fillId="2" borderId="0" xfId="2" applyNumberFormat="1" applyFont="1" applyFill="1" applyBorder="1" applyAlignment="1" applyProtection="1">
      <alignment horizontal="center" vertical="center"/>
      <protection hidden="1"/>
    </xf>
    <xf numFmtId="170" fontId="15" fillId="2" borderId="1" xfId="2" applyNumberFormat="1" applyFont="1" applyFill="1" applyBorder="1" applyAlignment="1" applyProtection="1">
      <alignment horizontal="center" vertical="center"/>
      <protection hidden="1"/>
    </xf>
    <xf numFmtId="0" fontId="41" fillId="2" borderId="6" xfId="0" applyFont="1" applyFill="1" applyBorder="1" applyAlignment="1" applyProtection="1">
      <alignment vertical="center"/>
      <protection hidden="1"/>
    </xf>
    <xf numFmtId="43" fontId="41" fillId="2" borderId="0" xfId="2" applyFont="1" applyFill="1" applyBorder="1" applyAlignment="1" applyProtection="1">
      <alignment vertical="center"/>
      <protection hidden="1"/>
    </xf>
    <xf numFmtId="0" fontId="9" fillId="11" borderId="26" xfId="0" applyFont="1" applyFill="1" applyBorder="1" applyAlignment="1">
      <alignment wrapText="1"/>
    </xf>
    <xf numFmtId="0" fontId="41" fillId="2" borderId="1" xfId="0" applyFont="1" applyFill="1" applyBorder="1"/>
    <xf numFmtId="0" fontId="9" fillId="2" borderId="0" xfId="0" applyFont="1" applyFill="1" applyBorder="1" applyAlignment="1">
      <alignment wrapText="1"/>
    </xf>
    <xf numFmtId="170" fontId="9" fillId="2" borderId="0" xfId="2" applyNumberFormat="1" applyFont="1" applyFill="1" applyBorder="1" applyAlignment="1">
      <alignment horizontal="center" wrapText="1"/>
    </xf>
    <xf numFmtId="170" fontId="15" fillId="2" borderId="0" xfId="2" applyNumberFormat="1" applyFont="1" applyFill="1" applyBorder="1" applyAlignment="1">
      <alignment horizontal="center"/>
    </xf>
    <xf numFmtId="170" fontId="15" fillId="2" borderId="1" xfId="2" applyNumberFormat="1" applyFont="1" applyFill="1" applyBorder="1" applyAlignment="1">
      <alignment horizontal="center"/>
    </xf>
    <xf numFmtId="0" fontId="41" fillId="2" borderId="8" xfId="0" applyFont="1" applyFill="1" applyBorder="1"/>
    <xf numFmtId="0" fontId="41" fillId="2" borderId="2" xfId="0" applyFont="1" applyFill="1" applyBorder="1"/>
    <xf numFmtId="0" fontId="41" fillId="2" borderId="7" xfId="0" applyFont="1" applyFill="1" applyBorder="1"/>
    <xf numFmtId="170" fontId="9" fillId="2" borderId="1" xfId="2" applyNumberFormat="1" applyFont="1" applyFill="1" applyBorder="1" applyAlignment="1">
      <alignment horizontal="center" wrapText="1"/>
    </xf>
    <xf numFmtId="0" fontId="41" fillId="2" borderId="9" xfId="0" applyFont="1" applyFill="1" applyBorder="1"/>
    <xf numFmtId="0" fontId="41" fillId="2" borderId="44" xfId="0" applyFont="1" applyFill="1" applyBorder="1"/>
    <xf numFmtId="0" fontId="41" fillId="2" borderId="45" xfId="0" applyFont="1" applyFill="1" applyBorder="1"/>
    <xf numFmtId="0" fontId="41" fillId="2" borderId="46" xfId="0" applyFont="1" applyFill="1" applyBorder="1"/>
    <xf numFmtId="0" fontId="40" fillId="2" borderId="10" xfId="0" applyFont="1" applyFill="1" applyBorder="1" applyAlignment="1" applyProtection="1">
      <alignment vertical="center"/>
      <protection hidden="1"/>
    </xf>
    <xf numFmtId="0" fontId="40" fillId="2" borderId="6" xfId="0" applyFont="1" applyFill="1" applyBorder="1" applyAlignment="1" applyProtection="1">
      <alignment vertical="center"/>
      <protection hidden="1"/>
    </xf>
    <xf numFmtId="2" fontId="15" fillId="2" borderId="6" xfId="0" applyNumberFormat="1" applyFont="1" applyFill="1" applyBorder="1"/>
    <xf numFmtId="2" fontId="15" fillId="2" borderId="0" xfId="0" applyNumberFormat="1" applyFont="1" applyFill="1" applyBorder="1"/>
    <xf numFmtId="2" fontId="15" fillId="2" borderId="1" xfId="0" applyNumberFormat="1" applyFont="1" applyFill="1" applyBorder="1"/>
    <xf numFmtId="0" fontId="9" fillId="2" borderId="11" xfId="0" applyFont="1" applyFill="1" applyBorder="1" applyAlignment="1">
      <alignment textRotation="90"/>
    </xf>
    <xf numFmtId="0" fontId="15" fillId="2" borderId="2" xfId="0" applyFont="1" applyFill="1" applyBorder="1" applyAlignment="1" applyProtection="1">
      <alignment vertical="center"/>
      <protection hidden="1"/>
    </xf>
    <xf numFmtId="0" fontId="15" fillId="2" borderId="2" xfId="0" applyFont="1" applyFill="1" applyBorder="1" applyAlignment="1" applyProtection="1">
      <alignment horizontal="center" vertical="center"/>
      <protection hidden="1"/>
    </xf>
    <xf numFmtId="170" fontId="15" fillId="2" borderId="2" xfId="2" applyNumberFormat="1" applyFont="1" applyFill="1" applyBorder="1" applyAlignment="1" applyProtection="1">
      <alignment horizontal="center" vertical="center"/>
      <protection hidden="1"/>
    </xf>
    <xf numFmtId="170" fontId="15" fillId="2" borderId="47" xfId="2" applyNumberFormat="1" applyFont="1" applyFill="1" applyBorder="1" applyAlignment="1" applyProtection="1">
      <alignment horizontal="center" vertical="center"/>
      <protection hidden="1"/>
    </xf>
    <xf numFmtId="0" fontId="41" fillId="2" borderId="7" xfId="0" applyFont="1" applyFill="1" applyBorder="1" applyAlignment="1" applyProtection="1">
      <alignment vertical="center"/>
      <protection hidden="1"/>
    </xf>
    <xf numFmtId="43" fontId="41" fillId="2" borderId="2" xfId="2" applyFont="1" applyFill="1" applyBorder="1" applyAlignment="1" applyProtection="1">
      <alignment vertical="center"/>
      <protection hidden="1"/>
    </xf>
    <xf numFmtId="0" fontId="41" fillId="2" borderId="2" xfId="0" applyFont="1" applyFill="1" applyBorder="1" applyAlignment="1" applyProtection="1">
      <alignment vertical="center"/>
      <protection hidden="1"/>
    </xf>
    <xf numFmtId="0" fontId="9" fillId="11" borderId="48" xfId="0" applyFont="1" applyFill="1" applyBorder="1" applyAlignment="1" applyProtection="1">
      <alignment vertical="center"/>
      <protection hidden="1"/>
    </xf>
    <xf numFmtId="0" fontId="41" fillId="2" borderId="3" xfId="0" applyFont="1" applyFill="1" applyBorder="1" applyAlignment="1" applyProtection="1">
      <alignment vertical="center"/>
      <protection hidden="1"/>
    </xf>
    <xf numFmtId="0" fontId="9" fillId="11" borderId="26" xfId="0" applyFont="1" applyFill="1" applyBorder="1" applyAlignment="1" applyProtection="1">
      <alignment horizontal="left" vertical="center"/>
      <protection hidden="1"/>
    </xf>
    <xf numFmtId="43" fontId="49" fillId="2" borderId="0" xfId="2" applyFont="1" applyFill="1" applyBorder="1" applyAlignment="1" applyProtection="1">
      <alignment horizontal="center" vertical="center"/>
      <protection hidden="1"/>
    </xf>
    <xf numFmtId="43" fontId="41" fillId="2" borderId="0" xfId="0" applyNumberFormat="1" applyFont="1" applyFill="1" applyBorder="1" applyAlignment="1" applyProtection="1">
      <alignment vertical="center"/>
      <protection hidden="1"/>
    </xf>
    <xf numFmtId="0" fontId="9" fillId="2" borderId="26" xfId="0" applyFont="1" applyFill="1" applyBorder="1" applyAlignment="1" applyProtection="1">
      <alignment horizontal="left" vertical="center"/>
      <protection hidden="1"/>
    </xf>
    <xf numFmtId="0" fontId="9" fillId="2" borderId="12" xfId="0" applyFont="1" applyFill="1" applyBorder="1" applyAlignment="1" applyProtection="1">
      <alignment horizontal="center" vertical="center"/>
      <protection hidden="1"/>
    </xf>
    <xf numFmtId="170" fontId="9" fillId="2" borderId="13" xfId="2" applyNumberFormat="1" applyFont="1" applyFill="1" applyBorder="1" applyAlignment="1" applyProtection="1">
      <alignment horizontal="center" vertical="center"/>
      <protection hidden="1"/>
    </xf>
    <xf numFmtId="170" fontId="9" fillId="2" borderId="49" xfId="2" applyNumberFormat="1" applyFont="1" applyFill="1" applyBorder="1" applyAlignment="1" applyProtection="1">
      <alignment horizontal="center" vertical="center"/>
      <protection hidden="1"/>
    </xf>
    <xf numFmtId="170" fontId="9" fillId="2" borderId="50" xfId="2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left" vertical="center"/>
      <protection hidden="1"/>
    </xf>
    <xf numFmtId="170" fontId="9" fillId="2" borderId="0" xfId="2" applyNumberFormat="1" applyFont="1" applyFill="1" applyBorder="1" applyAlignment="1" applyProtection="1">
      <alignment horizontal="center" vertical="center"/>
      <protection hidden="1"/>
    </xf>
    <xf numFmtId="170" fontId="9" fillId="2" borderId="1" xfId="2" applyNumberFormat="1" applyFont="1" applyFill="1" applyBorder="1" applyAlignment="1" applyProtection="1">
      <alignment horizontal="center" vertical="center"/>
      <protection hidden="1"/>
    </xf>
    <xf numFmtId="0" fontId="9" fillId="2" borderId="11" xfId="0" applyFont="1" applyFill="1" applyBorder="1" applyAlignment="1">
      <alignment vertical="center" textRotation="90"/>
    </xf>
    <xf numFmtId="170" fontId="15" fillId="2" borderId="7" xfId="2" applyNumberFormat="1" applyFont="1" applyFill="1" applyBorder="1" applyAlignment="1" applyProtection="1">
      <alignment horizontal="center" vertical="center"/>
      <protection hidden="1"/>
    </xf>
    <xf numFmtId="0" fontId="41" fillId="2" borderId="8" xfId="0" applyFont="1" applyFill="1" applyBorder="1" applyAlignment="1" applyProtection="1">
      <alignment vertical="center"/>
      <protection hidden="1"/>
    </xf>
    <xf numFmtId="0" fontId="15" fillId="2" borderId="11" xfId="0" applyFont="1" applyFill="1" applyBorder="1" applyAlignment="1" applyProtection="1">
      <alignment vertical="center" textRotation="90"/>
      <protection hidden="1"/>
    </xf>
    <xf numFmtId="0" fontId="9" fillId="11" borderId="17" xfId="0" applyFont="1" applyFill="1" applyBorder="1" applyAlignment="1" applyProtection="1">
      <alignment horizontal="center" vertical="center"/>
      <protection hidden="1"/>
    </xf>
    <xf numFmtId="0" fontId="41" fillId="2" borderId="4" xfId="0" applyFont="1" applyFill="1" applyBorder="1"/>
    <xf numFmtId="0" fontId="9" fillId="11" borderId="12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4" fontId="41" fillId="2" borderId="0" xfId="0" applyNumberFormat="1" applyFont="1" applyFill="1" applyAlignment="1" applyProtection="1">
      <alignment vertical="center"/>
      <protection hidden="1"/>
    </xf>
    <xf numFmtId="1" fontId="41" fillId="2" borderId="0" xfId="0" applyNumberFormat="1" applyFont="1" applyFill="1" applyBorder="1"/>
    <xf numFmtId="0" fontId="30" fillId="9" borderId="40" xfId="0" applyFont="1" applyFill="1" applyBorder="1" applyAlignment="1" applyProtection="1">
      <alignment horizontal="center"/>
      <protection hidden="1"/>
    </xf>
    <xf numFmtId="43" fontId="48" fillId="2" borderId="0" xfId="2" applyFont="1" applyFill="1" applyAlignment="1" applyProtection="1">
      <alignment vertical="center"/>
      <protection hidden="1"/>
    </xf>
    <xf numFmtId="0" fontId="48" fillId="2" borderId="0" xfId="0" applyFont="1" applyFill="1" applyAlignment="1" applyProtection="1">
      <alignment horizontal="center" vertical="center"/>
      <protection hidden="1"/>
    </xf>
    <xf numFmtId="0" fontId="52" fillId="2" borderId="0" xfId="0" applyFont="1" applyFill="1" applyAlignment="1" applyProtection="1">
      <alignment horizontal="center" vertical="center"/>
      <protection hidden="1"/>
    </xf>
    <xf numFmtId="0" fontId="53" fillId="2" borderId="0" xfId="0" applyFont="1" applyFill="1" applyAlignment="1" applyProtection="1">
      <alignment horizontal="center" vertical="center" wrapText="1"/>
      <protection hidden="1"/>
    </xf>
    <xf numFmtId="166" fontId="48" fillId="2" borderId="0" xfId="2" applyNumberFormat="1" applyFont="1" applyFill="1" applyAlignment="1" applyProtection="1">
      <alignment horizontal="left" vertical="center"/>
      <protection hidden="1"/>
    </xf>
    <xf numFmtId="166" fontId="41" fillId="2" borderId="0" xfId="2" applyNumberFormat="1" applyFont="1" applyFill="1" applyAlignment="1" applyProtection="1">
      <alignment horizontal="center" vertical="center"/>
      <protection hidden="1"/>
    </xf>
    <xf numFmtId="166" fontId="48" fillId="2" borderId="0" xfId="2" applyNumberFormat="1" applyFont="1" applyFill="1" applyAlignment="1" applyProtection="1">
      <alignment vertical="center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52" fillId="2" borderId="0" xfId="0" applyFont="1" applyFill="1" applyAlignment="1" applyProtection="1">
      <alignment horizontal="center" vertical="center" wrapText="1"/>
      <protection hidden="1"/>
    </xf>
    <xf numFmtId="164" fontId="46" fillId="2" borderId="0" xfId="1" applyFont="1" applyFill="1" applyAlignment="1" applyProtection="1">
      <alignment vertical="center"/>
      <protection hidden="1"/>
    </xf>
    <xf numFmtId="174" fontId="41" fillId="2" borderId="0" xfId="0" applyNumberFormat="1" applyFont="1" applyFill="1" applyAlignment="1" applyProtection="1">
      <alignment vertical="center"/>
      <protection hidden="1"/>
    </xf>
    <xf numFmtId="164" fontId="49" fillId="2" borderId="0" xfId="0" applyNumberFormat="1" applyFont="1" applyFill="1" applyAlignment="1" applyProtection="1">
      <alignment vertical="center"/>
      <protection hidden="1"/>
    </xf>
    <xf numFmtId="164" fontId="41" fillId="2" borderId="0" xfId="0" applyNumberFormat="1" applyFont="1" applyFill="1" applyAlignment="1" applyProtection="1">
      <alignment vertical="center"/>
      <protection hidden="1"/>
    </xf>
    <xf numFmtId="0" fontId="9" fillId="11" borderId="26" xfId="0" applyFont="1" applyFill="1" applyBorder="1" applyAlignment="1" applyProtection="1">
      <alignment vertical="center"/>
      <protection hidden="1"/>
    </xf>
    <xf numFmtId="0" fontId="9" fillId="11" borderId="52" xfId="0" applyFont="1" applyFill="1" applyBorder="1" applyAlignment="1" applyProtection="1">
      <alignment horizontal="left" vertical="center" wrapText="1"/>
      <protection hidden="1"/>
    </xf>
    <xf numFmtId="0" fontId="54" fillId="2" borderId="0" xfId="0" applyFont="1" applyFill="1" applyAlignment="1" applyProtection="1">
      <alignment vertical="center"/>
      <protection hidden="1"/>
    </xf>
    <xf numFmtId="0" fontId="47" fillId="2" borderId="0" xfId="0" applyFont="1" applyFill="1"/>
    <xf numFmtId="169" fontId="47" fillId="2" borderId="0" xfId="0" applyNumberFormat="1" applyFont="1" applyFill="1" applyBorder="1"/>
    <xf numFmtId="9" fontId="47" fillId="2" borderId="0" xfId="0" applyNumberFormat="1" applyFont="1" applyFill="1" applyBorder="1"/>
    <xf numFmtId="0" fontId="50" fillId="11" borderId="26" xfId="0" applyFont="1" applyFill="1" applyBorder="1" applyAlignment="1" applyProtection="1">
      <alignment vertical="center"/>
      <protection hidden="1"/>
    </xf>
    <xf numFmtId="0" fontId="9" fillId="11" borderId="52" xfId="0" applyFont="1" applyFill="1" applyBorder="1" applyAlignment="1" applyProtection="1">
      <alignment horizontal="center" vertical="center" wrapText="1"/>
      <protection hidden="1"/>
    </xf>
    <xf numFmtId="0" fontId="41" fillId="2" borderId="4" xfId="0" applyFont="1" applyFill="1" applyBorder="1" applyAlignment="1" applyProtection="1">
      <alignment vertical="center"/>
      <protection hidden="1"/>
    </xf>
    <xf numFmtId="0" fontId="41" fillId="2" borderId="5" xfId="0" applyFont="1" applyFill="1" applyBorder="1" applyAlignment="1" applyProtection="1">
      <alignment vertical="center"/>
      <protection hidden="1"/>
    </xf>
    <xf numFmtId="0" fontId="0" fillId="0" borderId="0" xfId="0" applyNumberFormat="1"/>
    <xf numFmtId="167" fontId="0" fillId="0" borderId="53" xfId="0" applyNumberFormat="1" applyBorder="1" applyAlignment="1">
      <alignment horizontal="center"/>
    </xf>
    <xf numFmtId="167" fontId="0" fillId="0" borderId="26" xfId="0" applyNumberFormat="1" applyBorder="1" applyAlignment="1">
      <alignment horizontal="center"/>
    </xf>
    <xf numFmtId="167" fontId="0" fillId="0" borderId="54" xfId="0" applyNumberFormat="1" applyBorder="1" applyAlignment="1">
      <alignment horizontal="center"/>
    </xf>
    <xf numFmtId="0" fontId="0" fillId="0" borderId="23" xfId="0" applyBorder="1"/>
    <xf numFmtId="167" fontId="0" fillId="0" borderId="52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2" fontId="0" fillId="0" borderId="22" xfId="0" applyNumberFormat="1" applyFill="1" applyBorder="1" applyAlignment="1">
      <alignment horizontal="center"/>
    </xf>
    <xf numFmtId="2" fontId="0" fillId="0" borderId="19" xfId="0" applyNumberFormat="1" applyFill="1" applyBorder="1" applyAlignment="1">
      <alignment horizontal="center"/>
    </xf>
    <xf numFmtId="4" fontId="41" fillId="2" borderId="0" xfId="0" applyNumberFormat="1" applyFont="1" applyFill="1" applyAlignment="1" applyProtection="1">
      <alignment horizontal="center" vertical="center"/>
      <protection hidden="1"/>
    </xf>
    <xf numFmtId="3" fontId="41" fillId="2" borderId="0" xfId="0" applyNumberFormat="1" applyFont="1" applyFill="1" applyAlignment="1" applyProtection="1">
      <alignment vertical="center"/>
      <protection hidden="1"/>
    </xf>
    <xf numFmtId="43" fontId="41" fillId="13" borderId="0" xfId="0" applyNumberFormat="1" applyFont="1" applyFill="1" applyAlignment="1" applyProtection="1">
      <alignment vertical="center"/>
      <protection hidden="1"/>
    </xf>
    <xf numFmtId="43" fontId="41" fillId="4" borderId="0" xfId="0" applyNumberFormat="1" applyFont="1" applyFill="1" applyAlignment="1" applyProtection="1">
      <alignment vertical="center"/>
      <protection hidden="1"/>
    </xf>
    <xf numFmtId="43" fontId="41" fillId="5" borderId="0" xfId="0" applyNumberFormat="1" applyFont="1" applyFill="1" applyAlignment="1" applyProtection="1">
      <alignment vertical="center"/>
      <protection hidden="1"/>
    </xf>
    <xf numFmtId="0" fontId="30" fillId="2" borderId="6" xfId="0" applyFont="1" applyFill="1" applyBorder="1" applyAlignment="1" applyProtection="1">
      <alignment horizontal="center"/>
      <protection hidden="1"/>
    </xf>
    <xf numFmtId="0" fontId="30" fillId="2" borderId="0" xfId="0" applyFont="1" applyFill="1" applyBorder="1" applyAlignment="1" applyProtection="1">
      <alignment horizontal="center"/>
      <protection hidden="1"/>
    </xf>
    <xf numFmtId="0" fontId="15" fillId="11" borderId="3" xfId="0" applyFont="1" applyFill="1" applyBorder="1" applyAlignment="1" applyProtection="1">
      <alignment horizontal="center"/>
      <protection hidden="1"/>
    </xf>
    <xf numFmtId="0" fontId="30" fillId="5" borderId="42" xfId="0" applyFont="1" applyFill="1" applyBorder="1" applyAlignment="1" applyProtection="1">
      <alignment horizontal="center"/>
      <protection hidden="1"/>
    </xf>
    <xf numFmtId="0" fontId="30" fillId="9" borderId="50" xfId="0" applyFont="1" applyFill="1" applyBorder="1" applyAlignment="1" applyProtection="1">
      <alignment horizontal="center"/>
      <protection hidden="1"/>
    </xf>
    <xf numFmtId="0" fontId="30" fillId="5" borderId="47" xfId="0" applyFont="1" applyFill="1" applyBorder="1" applyAlignment="1" applyProtection="1">
      <alignment horizontal="center"/>
      <protection hidden="1"/>
    </xf>
    <xf numFmtId="0" fontId="30" fillId="9" borderId="49" xfId="0" applyFont="1" applyFill="1" applyBorder="1" applyAlignment="1" applyProtection="1">
      <alignment horizontal="center"/>
      <protection hidden="1"/>
    </xf>
    <xf numFmtId="0" fontId="30" fillId="5" borderId="55" xfId="0" applyFont="1" applyFill="1" applyBorder="1" applyAlignment="1" applyProtection="1">
      <alignment horizontal="center"/>
      <protection hidden="1"/>
    </xf>
    <xf numFmtId="0" fontId="30" fillId="13" borderId="56" xfId="0" applyFont="1" applyFill="1" applyBorder="1" applyAlignment="1" applyProtection="1">
      <alignment horizontal="center"/>
      <protection hidden="1"/>
    </xf>
    <xf numFmtId="0" fontId="30" fillId="13" borderId="45" xfId="0" applyFont="1" applyFill="1" applyBorder="1" applyAlignment="1" applyProtection="1">
      <alignment horizontal="center"/>
      <protection hidden="1"/>
    </xf>
    <xf numFmtId="0" fontId="30" fillId="13" borderId="46" xfId="0" applyFont="1" applyFill="1" applyBorder="1" applyAlignment="1" applyProtection="1">
      <alignment horizontal="center"/>
      <protection hidden="1"/>
    </xf>
    <xf numFmtId="0" fontId="47" fillId="13" borderId="0" xfId="0" applyFont="1" applyFill="1" applyBorder="1" applyProtection="1">
      <protection locked="0" hidden="1"/>
    </xf>
    <xf numFmtId="0" fontId="30" fillId="13" borderId="39" xfId="0" applyFont="1" applyFill="1" applyBorder="1" applyAlignment="1" applyProtection="1">
      <alignment horizontal="center"/>
      <protection hidden="1"/>
    </xf>
    <xf numFmtId="1" fontId="41" fillId="5" borderId="42" xfId="0" applyNumberFormat="1" applyFont="1" applyFill="1" applyBorder="1" applyAlignment="1" applyProtection="1">
      <alignment horizontal="center"/>
      <protection hidden="1"/>
    </xf>
    <xf numFmtId="1" fontId="30" fillId="5" borderId="42" xfId="0" applyNumberFormat="1" applyFont="1" applyFill="1" applyBorder="1" applyAlignment="1" applyProtection="1">
      <alignment horizontal="center"/>
      <protection hidden="1"/>
    </xf>
    <xf numFmtId="1" fontId="41" fillId="13" borderId="39" xfId="0" applyNumberFormat="1" applyFont="1" applyFill="1" applyBorder="1" applyAlignment="1" applyProtection="1">
      <alignment horizontal="center"/>
      <protection hidden="1"/>
    </xf>
    <xf numFmtId="0" fontId="15" fillId="11" borderId="9" xfId="0" applyFont="1" applyFill="1" applyBorder="1" applyAlignment="1" applyProtection="1">
      <alignment horizontal="center" vertical="center"/>
      <protection hidden="1"/>
    </xf>
    <xf numFmtId="0" fontId="30" fillId="9" borderId="40" xfId="0" applyFont="1" applyFill="1" applyBorder="1" applyAlignment="1" applyProtection="1">
      <alignment horizontal="center" vertical="center"/>
      <protection hidden="1"/>
    </xf>
    <xf numFmtId="0" fontId="41" fillId="2" borderId="2" xfId="0" applyFont="1" applyFill="1" applyBorder="1" applyAlignment="1"/>
    <xf numFmtId="0" fontId="15" fillId="11" borderId="9" xfId="0" applyFont="1" applyFill="1" applyBorder="1" applyAlignment="1" applyProtection="1">
      <alignment horizontal="center"/>
      <protection hidden="1"/>
    </xf>
    <xf numFmtId="1" fontId="41" fillId="9" borderId="40" xfId="0" applyNumberFormat="1" applyFont="1" applyFill="1" applyBorder="1" applyAlignment="1" applyProtection="1">
      <alignment horizontal="center"/>
      <protection hidden="1"/>
    </xf>
    <xf numFmtId="0" fontId="15" fillId="2" borderId="1" xfId="0" applyFont="1" applyFill="1" applyBorder="1" applyAlignment="1">
      <alignment horizontal="center"/>
    </xf>
    <xf numFmtId="0" fontId="41" fillId="2" borderId="10" xfId="0" applyFont="1" applyFill="1" applyBorder="1"/>
    <xf numFmtId="0" fontId="15" fillId="2" borderId="10" xfId="0" applyFont="1" applyFill="1" applyBorder="1" applyAlignment="1">
      <alignment horizontal="center"/>
    </xf>
    <xf numFmtId="1" fontId="30" fillId="5" borderId="41" xfId="0" applyNumberFormat="1" applyFont="1" applyFill="1" applyBorder="1" applyAlignment="1" applyProtection="1">
      <alignment horizontal="center"/>
      <protection hidden="1"/>
    </xf>
    <xf numFmtId="1" fontId="30" fillId="13" borderId="39" xfId="0" applyNumberFormat="1" applyFont="1" applyFill="1" applyBorder="1" applyAlignment="1" applyProtection="1">
      <alignment horizontal="center"/>
      <protection hidden="1"/>
    </xf>
    <xf numFmtId="1" fontId="30" fillId="9" borderId="40" xfId="0" applyNumberFormat="1" applyFont="1" applyFill="1" applyBorder="1" applyAlignment="1" applyProtection="1">
      <alignment horizontal="center"/>
      <protection hidden="1"/>
    </xf>
    <xf numFmtId="0" fontId="41" fillId="2" borderId="11" xfId="0" applyFont="1" applyFill="1" applyBorder="1"/>
    <xf numFmtId="1" fontId="41" fillId="13" borderId="9" xfId="0" applyNumberFormat="1" applyFont="1" applyFill="1" applyBorder="1" applyAlignment="1" applyProtection="1">
      <alignment horizontal="center"/>
      <protection hidden="1"/>
    </xf>
    <xf numFmtId="1" fontId="41" fillId="9" borderId="41" xfId="0" applyNumberFormat="1" applyFont="1" applyFill="1" applyBorder="1" applyAlignment="1" applyProtection="1">
      <alignment horizontal="center"/>
      <protection hidden="1"/>
    </xf>
    <xf numFmtId="1" fontId="41" fillId="5" borderId="56" xfId="0" applyNumberFormat="1" applyFont="1" applyFill="1" applyBorder="1" applyAlignment="1" applyProtection="1">
      <alignment horizontal="center"/>
      <protection hidden="1"/>
    </xf>
    <xf numFmtId="1" fontId="41" fillId="5" borderId="10" xfId="0" applyNumberFormat="1" applyFont="1" applyFill="1" applyBorder="1" applyAlignment="1" applyProtection="1">
      <alignment horizontal="center"/>
      <protection hidden="1"/>
    </xf>
    <xf numFmtId="1" fontId="41" fillId="2" borderId="0" xfId="0" applyNumberFormat="1" applyFont="1" applyFill="1"/>
    <xf numFmtId="1" fontId="30" fillId="9" borderId="41" xfId="0" applyNumberFormat="1" applyFont="1" applyFill="1" applyBorder="1" applyAlignment="1" applyProtection="1">
      <alignment horizontal="center"/>
      <protection hidden="1"/>
    </xf>
    <xf numFmtId="1" fontId="30" fillId="13" borderId="10" xfId="0" applyNumberFormat="1" applyFont="1" applyFill="1" applyBorder="1" applyAlignment="1" applyProtection="1">
      <alignment horizontal="center"/>
      <protection hidden="1"/>
    </xf>
    <xf numFmtId="0" fontId="30" fillId="5" borderId="42" xfId="0" applyFont="1" applyFill="1" applyBorder="1" applyAlignment="1" applyProtection="1">
      <alignment horizontal="center" vertical="center"/>
      <protection hidden="1"/>
    </xf>
    <xf numFmtId="0" fontId="41" fillId="2" borderId="1" xfId="0" applyFont="1" applyFill="1" applyBorder="1" applyAlignment="1"/>
    <xf numFmtId="0" fontId="30" fillId="5" borderId="41" xfId="0" applyFont="1" applyFill="1" applyBorder="1" applyAlignment="1" applyProtection="1">
      <alignment horizontal="center" vertical="center"/>
      <protection hidden="1"/>
    </xf>
    <xf numFmtId="0" fontId="15" fillId="11" borderId="4" xfId="0" applyFont="1" applyFill="1" applyBorder="1" applyAlignment="1" applyProtection="1">
      <alignment horizontal="center"/>
      <protection hidden="1"/>
    </xf>
    <xf numFmtId="0" fontId="48" fillId="2" borderId="0" xfId="0" applyFont="1" applyFill="1" applyBorder="1" applyAlignment="1" applyProtection="1">
      <alignment vertical="center"/>
    </xf>
    <xf numFmtId="0" fontId="0" fillId="15" borderId="0" xfId="0" applyFill="1"/>
    <xf numFmtId="0" fontId="23" fillId="0" borderId="0" xfId="0" applyFont="1" applyFill="1" applyProtection="1">
      <protection hidden="1"/>
    </xf>
    <xf numFmtId="0" fontId="57" fillId="0" borderId="0" xfId="0" applyFont="1"/>
    <xf numFmtId="0" fontId="41" fillId="2" borderId="0" xfId="0" applyFont="1" applyFill="1" applyAlignment="1" applyProtection="1">
      <alignment horizontal="left" vertical="center"/>
      <protection locked="0" hidden="1"/>
    </xf>
    <xf numFmtId="0" fontId="40" fillId="2" borderId="0" xfId="0" applyFont="1" applyFill="1" applyBorder="1" applyAlignment="1" applyProtection="1">
      <alignment horizontal="left" vertical="center"/>
      <protection locked="0" hidden="1"/>
    </xf>
    <xf numFmtId="0" fontId="23" fillId="0" borderId="0" xfId="0" applyFont="1"/>
    <xf numFmtId="0" fontId="40" fillId="2" borderId="0" xfId="0" applyFont="1" applyFill="1" applyAlignment="1" applyProtection="1">
      <alignment horizontal="left" vertical="center"/>
      <protection locked="0" hidden="1"/>
    </xf>
    <xf numFmtId="0" fontId="30" fillId="2" borderId="0" xfId="0" applyFont="1" applyFill="1" applyBorder="1" applyAlignment="1" applyProtection="1">
      <alignment horizontal="center"/>
      <protection locked="0" hidden="1"/>
    </xf>
    <xf numFmtId="0" fontId="30" fillId="2" borderId="0" xfId="0" applyFont="1" applyFill="1" applyBorder="1" applyProtection="1">
      <protection locked="0" hidden="1"/>
    </xf>
    <xf numFmtId="0" fontId="30" fillId="2" borderId="0" xfId="0" applyFont="1" applyFill="1" applyBorder="1"/>
    <xf numFmtId="0" fontId="30" fillId="13" borderId="0" xfId="0" applyFont="1" applyFill="1" applyBorder="1" applyProtection="1">
      <protection locked="0" hidden="1"/>
    </xf>
    <xf numFmtId="0" fontId="26" fillId="2" borderId="0" xfId="0" applyFont="1" applyFill="1" applyBorder="1" applyProtection="1">
      <protection locked="0" hidden="1"/>
    </xf>
    <xf numFmtId="0" fontId="26" fillId="2" borderId="0" xfId="0" applyFont="1" applyFill="1" applyBorder="1"/>
    <xf numFmtId="0" fontId="30" fillId="9" borderId="0" xfId="0" applyFont="1" applyFill="1" applyBorder="1" applyProtection="1">
      <protection locked="0" hidden="1"/>
    </xf>
    <xf numFmtId="0" fontId="30" fillId="5" borderId="0" xfId="0" applyFont="1" applyFill="1" applyBorder="1" applyProtection="1">
      <protection locked="0" hidden="1"/>
    </xf>
    <xf numFmtId="0" fontId="41" fillId="2" borderId="0" xfId="0" applyFont="1" applyFill="1" applyBorder="1" applyAlignment="1" applyProtection="1">
      <alignment horizontal="left" vertical="center"/>
      <protection locked="0" hidden="1"/>
    </xf>
    <xf numFmtId="3" fontId="41" fillId="2" borderId="0" xfId="2" applyNumberFormat="1" applyFont="1" applyFill="1" applyBorder="1" applyAlignment="1" applyProtection="1">
      <alignment horizontal="left" vertical="center"/>
      <protection locked="0" hidden="1"/>
    </xf>
    <xf numFmtId="0" fontId="0" fillId="16" borderId="0" xfId="0" applyFill="1"/>
    <xf numFmtId="4" fontId="41" fillId="16" borderId="0" xfId="0" applyNumberFormat="1" applyFont="1" applyFill="1" applyAlignment="1" applyProtection="1">
      <alignment vertical="center"/>
      <protection hidden="1"/>
    </xf>
    <xf numFmtId="4" fontId="41" fillId="16" borderId="0" xfId="0" applyNumberFormat="1" applyFont="1" applyFill="1" applyAlignment="1" applyProtection="1">
      <alignment horizontal="center" vertical="center"/>
      <protection hidden="1"/>
    </xf>
    <xf numFmtId="0" fontId="0" fillId="17" borderId="0" xfId="0" applyFill="1"/>
    <xf numFmtId="4" fontId="41" fillId="17" borderId="0" xfId="0" applyNumberFormat="1" applyFont="1" applyFill="1" applyAlignment="1" applyProtection="1">
      <alignment horizontal="center" vertical="center"/>
      <protection hidden="1"/>
    </xf>
    <xf numFmtId="0" fontId="41" fillId="16" borderId="0" xfId="0" applyFont="1" applyFill="1" applyAlignment="1" applyProtection="1">
      <alignment vertical="center"/>
      <protection hidden="1"/>
    </xf>
    <xf numFmtId="0" fontId="0" fillId="5" borderId="0" xfId="0" applyFill="1"/>
    <xf numFmtId="3" fontId="41" fillId="5" borderId="0" xfId="0" applyNumberFormat="1" applyFont="1" applyFill="1" applyAlignment="1" applyProtection="1">
      <alignment vertical="center"/>
      <protection hidden="1"/>
    </xf>
    <xf numFmtId="0" fontId="23" fillId="5" borderId="0" xfId="0" applyFont="1" applyFill="1" applyAlignment="1">
      <alignment vertical="center"/>
    </xf>
    <xf numFmtId="43" fontId="41" fillId="17" borderId="0" xfId="2" applyFont="1" applyFill="1" applyAlignment="1" applyProtection="1">
      <alignment vertical="center"/>
      <protection hidden="1"/>
    </xf>
    <xf numFmtId="43" fontId="41" fillId="16" borderId="0" xfId="2" applyFont="1" applyFill="1" applyAlignment="1" applyProtection="1">
      <alignment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43" fontId="41" fillId="16" borderId="0" xfId="0" applyNumberFormat="1" applyFont="1" applyFill="1" applyAlignment="1" applyProtection="1">
      <alignment vertical="center"/>
      <protection hidden="1"/>
    </xf>
    <xf numFmtId="0" fontId="41" fillId="17" borderId="0" xfId="0" applyFont="1" applyFill="1" applyAlignment="1" applyProtection="1">
      <alignment vertical="center"/>
      <protection hidden="1"/>
    </xf>
    <xf numFmtId="43" fontId="41" fillId="17" borderId="0" xfId="0" applyNumberFormat="1" applyFont="1" applyFill="1" applyAlignment="1" applyProtection="1">
      <alignment vertical="center"/>
      <protection hidden="1"/>
    </xf>
    <xf numFmtId="43" fontId="35" fillId="3" borderId="0" xfId="0" applyNumberFormat="1" applyFont="1" applyFill="1" applyAlignment="1" applyProtection="1">
      <alignment vertical="center"/>
      <protection hidden="1"/>
    </xf>
    <xf numFmtId="0" fontId="0" fillId="2" borderId="0" xfId="0" applyFill="1" applyAlignment="1">
      <alignment vertical="center"/>
    </xf>
    <xf numFmtId="0" fontId="50" fillId="2" borderId="0" xfId="0" applyFont="1" applyFill="1" applyAlignment="1" applyProtection="1">
      <alignment horizontal="right" vertical="center"/>
      <protection hidden="1"/>
    </xf>
    <xf numFmtId="0" fontId="58" fillId="2" borderId="45" xfId="0" applyFont="1" applyFill="1" applyBorder="1" applyAlignment="1" applyProtection="1">
      <alignment vertical="center"/>
      <protection hidden="1"/>
    </xf>
    <xf numFmtId="0" fontId="41" fillId="2" borderId="45" xfId="0" applyFont="1" applyFill="1" applyBorder="1" applyAlignment="1" applyProtection="1">
      <alignment vertical="center"/>
      <protection hidden="1"/>
    </xf>
    <xf numFmtId="0" fontId="19" fillId="0" borderId="0" xfId="0" applyFont="1" applyFill="1" applyProtection="1">
      <protection locked="0" hidden="1"/>
    </xf>
    <xf numFmtId="0" fontId="0" fillId="0" borderId="0" xfId="0" applyProtection="1">
      <protection locked="0"/>
    </xf>
    <xf numFmtId="9" fontId="41" fillId="2" borderId="0" xfId="7" applyFont="1" applyFill="1" applyBorder="1" applyAlignment="1" applyProtection="1">
      <alignment vertical="center"/>
      <protection hidden="1"/>
    </xf>
    <xf numFmtId="165" fontId="41" fillId="2" borderId="0" xfId="0" applyNumberFormat="1" applyFont="1" applyFill="1" applyBorder="1" applyAlignment="1" applyProtection="1">
      <alignment vertical="center"/>
      <protection hidden="1"/>
    </xf>
    <xf numFmtId="166" fontId="41" fillId="2" borderId="0" xfId="0" applyNumberFormat="1" applyFont="1" applyFill="1" applyBorder="1" applyAlignment="1" applyProtection="1">
      <alignment vertical="center"/>
      <protection hidden="1"/>
    </xf>
    <xf numFmtId="165" fontId="35" fillId="2" borderId="0" xfId="0" applyNumberFormat="1" applyFont="1" applyFill="1" applyBorder="1" applyAlignment="1" applyProtection="1">
      <alignment vertical="center"/>
      <protection hidden="1"/>
    </xf>
    <xf numFmtId="0" fontId="41" fillId="22" borderId="0" xfId="0" applyFont="1" applyFill="1"/>
    <xf numFmtId="0" fontId="41" fillId="22" borderId="0" xfId="0" applyFont="1" applyFill="1" applyBorder="1"/>
    <xf numFmtId="0" fontId="23" fillId="0" borderId="0" xfId="0" applyFont="1" applyProtection="1">
      <protection locked="0"/>
    </xf>
    <xf numFmtId="0" fontId="41" fillId="2" borderId="0" xfId="0" applyFont="1" applyFill="1" applyAlignment="1" applyProtection="1">
      <alignment horizontal="right" vertical="center"/>
      <protection locked="0" hidden="1"/>
    </xf>
    <xf numFmtId="0" fontId="41" fillId="2" borderId="0" xfId="0" applyFont="1" applyFill="1" applyAlignment="1" applyProtection="1">
      <alignment horizontal="center" vertical="center"/>
      <protection locked="0" hidden="1"/>
    </xf>
    <xf numFmtId="4" fontId="48" fillId="2" borderId="0" xfId="0" applyNumberFormat="1" applyFont="1" applyFill="1" applyAlignment="1" applyProtection="1">
      <alignment vertical="center"/>
      <protection hidden="1"/>
    </xf>
    <xf numFmtId="0" fontId="6" fillId="22" borderId="0" xfId="4" applyFill="1" applyBorder="1" applyAlignment="1">
      <alignment horizontal="center" vertical="center"/>
    </xf>
    <xf numFmtId="0" fontId="6" fillId="22" borderId="0" xfId="4" applyFill="1" applyBorder="1" applyAlignment="1">
      <alignment wrapText="1"/>
    </xf>
    <xf numFmtId="0" fontId="6" fillId="22" borderId="0" xfId="4" applyFont="1" applyFill="1" applyBorder="1" applyAlignment="1">
      <alignment wrapText="1"/>
    </xf>
    <xf numFmtId="0" fontId="6" fillId="22" borderId="21" xfId="4" applyFill="1" applyBorder="1" applyAlignment="1" applyProtection="1">
      <alignment horizontal="center" vertical="center" wrapText="1"/>
      <protection hidden="1"/>
    </xf>
    <xf numFmtId="3" fontId="6" fillId="22" borderId="12" xfId="4" applyNumberFormat="1" applyFill="1" applyBorder="1" applyAlignment="1" applyProtection="1">
      <alignment horizontal="center" vertical="center" wrapText="1"/>
      <protection hidden="1"/>
    </xf>
    <xf numFmtId="3" fontId="6" fillId="22" borderId="22" xfId="4" applyNumberFormat="1" applyFill="1" applyBorder="1" applyAlignment="1" applyProtection="1">
      <alignment horizontal="center" vertical="center" wrapText="1"/>
      <protection hidden="1"/>
    </xf>
    <xf numFmtId="3" fontId="6" fillId="22" borderId="12" xfId="8" applyNumberFormat="1" applyFill="1" applyBorder="1" applyAlignment="1" applyProtection="1">
      <alignment horizontal="center" vertical="center" wrapText="1"/>
      <protection hidden="1"/>
    </xf>
    <xf numFmtId="169" fontId="6" fillId="22" borderId="22" xfId="8" applyNumberFormat="1" applyFill="1" applyBorder="1" applyAlignment="1" applyProtection="1">
      <alignment horizontal="center" vertical="center" wrapText="1"/>
      <protection hidden="1"/>
    </xf>
    <xf numFmtId="0" fontId="6" fillId="22" borderId="0" xfId="4" applyFill="1" applyBorder="1" applyAlignment="1">
      <alignment horizontal="left" wrapText="1"/>
    </xf>
    <xf numFmtId="0" fontId="6" fillId="22" borderId="0" xfId="4" applyFill="1" applyBorder="1" applyAlignment="1">
      <alignment horizontal="left"/>
    </xf>
    <xf numFmtId="0" fontId="6" fillId="22" borderId="0" xfId="4" applyFill="1" applyAlignment="1">
      <alignment wrapText="1"/>
    </xf>
    <xf numFmtId="0" fontId="6" fillId="0" borderId="0" xfId="4" applyAlignment="1">
      <alignment wrapText="1"/>
    </xf>
    <xf numFmtId="0" fontId="6" fillId="0" borderId="0" xfId="4"/>
    <xf numFmtId="0" fontId="6" fillId="22" borderId="0" xfId="4" applyFill="1" applyAlignment="1" applyProtection="1">
      <alignment wrapText="1"/>
      <protection locked="0" hidden="1"/>
    </xf>
    <xf numFmtId="0" fontId="6" fillId="22" borderId="0" xfId="4" applyFill="1" applyAlignment="1" applyProtection="1">
      <alignment horizontal="center" vertical="center" wrapText="1"/>
      <protection locked="0" hidden="1"/>
    </xf>
    <xf numFmtId="0" fontId="6" fillId="22" borderId="0" xfId="4" applyFill="1" applyBorder="1" applyAlignment="1" applyProtection="1">
      <alignment wrapText="1"/>
      <protection locked="0" hidden="1"/>
    </xf>
    <xf numFmtId="0" fontId="6" fillId="22" borderId="0" xfId="4" applyFill="1" applyBorder="1" applyAlignment="1" applyProtection="1">
      <alignment horizontal="center" vertical="center"/>
      <protection locked="0" hidden="1"/>
    </xf>
    <xf numFmtId="0" fontId="6" fillId="22" borderId="0" xfId="4" applyFont="1" applyFill="1" applyBorder="1" applyAlignment="1" applyProtection="1">
      <alignment wrapText="1"/>
      <protection locked="0" hidden="1"/>
    </xf>
    <xf numFmtId="0" fontId="55" fillId="22" borderId="18" xfId="4" applyFont="1" applyFill="1" applyBorder="1" applyAlignment="1" applyProtection="1">
      <alignment horizontal="center" vertical="center" wrapText="1"/>
      <protection locked="0" hidden="1"/>
    </xf>
    <xf numFmtId="0" fontId="6" fillId="22" borderId="12" xfId="4" applyFill="1" applyBorder="1" applyAlignment="1" applyProtection="1">
      <alignment horizontal="center" vertical="center" wrapText="1"/>
      <protection locked="0" hidden="1"/>
    </xf>
    <xf numFmtId="0" fontId="6" fillId="22" borderId="12" xfId="4" applyFont="1" applyFill="1" applyBorder="1" applyAlignment="1" applyProtection="1">
      <alignment wrapText="1"/>
      <protection locked="0" hidden="1"/>
    </xf>
    <xf numFmtId="0" fontId="6" fillId="22" borderId="22" xfId="4" applyFont="1" applyFill="1" applyBorder="1" applyAlignment="1" applyProtection="1">
      <alignment wrapText="1"/>
      <protection locked="0" hidden="1"/>
    </xf>
    <xf numFmtId="0" fontId="6" fillId="22" borderId="21" xfId="4" applyFont="1" applyFill="1" applyBorder="1" applyAlignment="1" applyProtection="1">
      <alignment horizontal="center" vertical="center" wrapText="1"/>
      <protection locked="0" hidden="1"/>
    </xf>
    <xf numFmtId="3" fontId="6" fillId="22" borderId="12" xfId="4" applyNumberFormat="1" applyFill="1" applyBorder="1" applyAlignment="1" applyProtection="1">
      <alignment horizontal="center" vertical="center" wrapText="1"/>
      <protection locked="0" hidden="1"/>
    </xf>
    <xf numFmtId="3" fontId="6" fillId="22" borderId="12" xfId="8" applyNumberFormat="1" applyFill="1" applyBorder="1" applyAlignment="1" applyProtection="1">
      <alignment horizontal="center" vertical="center" wrapText="1"/>
      <protection locked="0" hidden="1"/>
    </xf>
    <xf numFmtId="169" fontId="6" fillId="22" borderId="22" xfId="8" applyNumberFormat="1" applyFill="1" applyBorder="1" applyAlignment="1" applyProtection="1">
      <alignment horizontal="center" vertical="center" wrapText="1"/>
      <protection locked="0" hidden="1"/>
    </xf>
    <xf numFmtId="0" fontId="6" fillId="22" borderId="21" xfId="4" applyFont="1" applyFill="1" applyBorder="1" applyAlignment="1" applyProtection="1">
      <alignment horizontal="center" wrapText="1"/>
      <protection locked="0" hidden="1"/>
    </xf>
    <xf numFmtId="0" fontId="6" fillId="22" borderId="0" xfId="4" applyFill="1" applyBorder="1" applyAlignment="1" applyProtection="1">
      <alignment horizontal="left" wrapText="1"/>
      <protection locked="0" hidden="1"/>
    </xf>
    <xf numFmtId="0" fontId="6" fillId="22" borderId="23" xfId="4" applyFont="1" applyFill="1" applyBorder="1" applyAlignment="1" applyProtection="1">
      <alignment horizontal="center" wrapText="1"/>
      <protection locked="0" hidden="1"/>
    </xf>
    <xf numFmtId="0" fontId="6" fillId="22" borderId="0" xfId="4" applyFill="1" applyBorder="1" applyAlignment="1" applyProtection="1">
      <alignment horizontal="left"/>
      <protection locked="0" hidden="1"/>
    </xf>
    <xf numFmtId="0" fontId="6" fillId="22" borderId="0" xfId="4" applyFill="1" applyBorder="1" applyAlignment="1" applyProtection="1">
      <alignment horizontal="left" vertical="center"/>
      <protection locked="0" hidden="1"/>
    </xf>
    <xf numFmtId="0" fontId="6" fillId="22" borderId="0" xfId="4" applyFill="1" applyAlignment="1" applyProtection="1">
      <alignment horizontal="left" vertical="center"/>
      <protection locked="0" hidden="1"/>
    </xf>
    <xf numFmtId="49" fontId="24" fillId="22" borderId="0" xfId="4" applyNumberFormat="1" applyFont="1" applyFill="1" applyBorder="1" applyAlignment="1" applyProtection="1">
      <alignment horizontal="left" vertical="center"/>
      <protection locked="0" hidden="1"/>
    </xf>
    <xf numFmtId="49" fontId="6" fillId="22" borderId="0" xfId="4" applyNumberFormat="1" applyFill="1" applyAlignment="1" applyProtection="1">
      <alignment horizontal="left" vertical="center"/>
      <protection locked="0" hidden="1"/>
    </xf>
    <xf numFmtId="49" fontId="6" fillId="22" borderId="0" xfId="4" applyNumberFormat="1" applyFill="1" applyBorder="1" applyAlignment="1" applyProtection="1">
      <alignment horizontal="left"/>
      <protection locked="0" hidden="1"/>
    </xf>
    <xf numFmtId="0" fontId="6" fillId="22" borderId="0" xfId="4" applyFill="1" applyAlignment="1" applyProtection="1">
      <alignment horizontal="left"/>
      <protection locked="0" hidden="1"/>
    </xf>
    <xf numFmtId="0" fontId="47" fillId="26" borderId="0" xfId="0" applyFont="1" applyFill="1" applyBorder="1" applyProtection="1">
      <protection locked="0" hidden="1"/>
    </xf>
    <xf numFmtId="0" fontId="47" fillId="27" borderId="0" xfId="0" applyFont="1" applyFill="1" applyBorder="1" applyProtection="1">
      <protection locked="0" hidden="1"/>
    </xf>
    <xf numFmtId="0" fontId="47" fillId="22" borderId="0" xfId="0" applyFont="1" applyFill="1" applyBorder="1"/>
    <xf numFmtId="0" fontId="61" fillId="22" borderId="0" xfId="0" applyFont="1" applyFill="1" applyBorder="1" applyAlignment="1">
      <alignment textRotation="90"/>
    </xf>
    <xf numFmtId="0" fontId="62" fillId="22" borderId="0" xfId="0" applyFont="1" applyFill="1" applyBorder="1" applyAlignment="1">
      <alignment textRotation="90"/>
    </xf>
    <xf numFmtId="0" fontId="41" fillId="22" borderId="0" xfId="0" applyFont="1" applyFill="1" applyAlignment="1" applyProtection="1">
      <alignment vertical="center"/>
      <protection hidden="1"/>
    </xf>
    <xf numFmtId="0" fontId="2" fillId="22" borderId="0" xfId="12" applyFill="1"/>
    <xf numFmtId="0" fontId="2" fillId="22" borderId="0" xfId="12" applyFill="1" applyBorder="1"/>
    <xf numFmtId="0" fontId="2" fillId="22" borderId="16" xfId="12" applyFill="1" applyBorder="1" applyAlignment="1">
      <alignment horizontal="center" vertical="center"/>
    </xf>
    <xf numFmtId="0" fontId="2" fillId="22" borderId="12" xfId="12" applyFill="1" applyBorder="1" applyAlignment="1">
      <alignment horizontal="center" vertical="center"/>
    </xf>
    <xf numFmtId="0" fontId="2" fillId="22" borderId="17" xfId="12" applyFill="1" applyBorder="1" applyAlignment="1">
      <alignment horizontal="center" vertical="center"/>
    </xf>
    <xf numFmtId="0" fontId="2" fillId="22" borderId="0" xfId="12" applyFill="1" applyAlignment="1">
      <alignment horizontal="center" vertical="center"/>
    </xf>
    <xf numFmtId="0" fontId="64" fillId="22" borderId="0" xfId="12" applyFont="1" applyFill="1" applyAlignment="1">
      <alignment horizontal="center" vertical="center"/>
    </xf>
    <xf numFmtId="0" fontId="63" fillId="22" borderId="24" xfId="12" applyFont="1" applyFill="1" applyBorder="1" applyAlignment="1">
      <alignment horizontal="center" vertical="center"/>
    </xf>
    <xf numFmtId="0" fontId="63" fillId="22" borderId="14" xfId="12" applyFont="1" applyFill="1" applyBorder="1" applyAlignment="1">
      <alignment horizontal="center" vertical="center"/>
    </xf>
    <xf numFmtId="0" fontId="63" fillId="22" borderId="25" xfId="12" applyFont="1" applyFill="1" applyBorder="1" applyAlignment="1">
      <alignment horizontal="center" vertical="center"/>
    </xf>
    <xf numFmtId="0" fontId="63" fillId="22" borderId="23" xfId="12" applyFont="1" applyFill="1" applyBorder="1" applyAlignment="1">
      <alignment horizontal="center" vertical="center"/>
    </xf>
    <xf numFmtId="3" fontId="2" fillId="22" borderId="16" xfId="12" applyNumberFormat="1" applyFill="1" applyBorder="1" applyAlignment="1">
      <alignment horizontal="center" vertical="center"/>
    </xf>
    <xf numFmtId="3" fontId="2" fillId="22" borderId="12" xfId="12" applyNumberFormat="1" applyFill="1" applyBorder="1" applyAlignment="1">
      <alignment horizontal="center" vertical="center"/>
    </xf>
    <xf numFmtId="3" fontId="2" fillId="22" borderId="17" xfId="12" applyNumberFormat="1" applyFill="1" applyBorder="1" applyAlignment="1">
      <alignment horizontal="center" vertical="center"/>
    </xf>
    <xf numFmtId="0" fontId="65" fillId="22" borderId="0" xfId="12" applyFont="1" applyFill="1" applyAlignment="1">
      <alignment horizontal="left"/>
    </xf>
    <xf numFmtId="0" fontId="63" fillId="22" borderId="21" xfId="12" applyFont="1" applyFill="1" applyBorder="1" applyAlignment="1">
      <alignment horizontal="center" vertical="center"/>
    </xf>
    <xf numFmtId="0" fontId="2" fillId="22" borderId="20" xfId="12" applyFont="1" applyFill="1" applyBorder="1" applyAlignment="1">
      <alignment horizontal="center" vertical="center"/>
    </xf>
    <xf numFmtId="0" fontId="2" fillId="22" borderId="22" xfId="12" applyFont="1" applyFill="1" applyBorder="1" applyAlignment="1">
      <alignment horizontal="center" vertical="center"/>
    </xf>
    <xf numFmtId="0" fontId="2" fillId="22" borderId="19" xfId="12" applyFont="1" applyFill="1" applyBorder="1" applyAlignment="1">
      <alignment horizontal="center" vertical="center"/>
    </xf>
    <xf numFmtId="0" fontId="64" fillId="22" borderId="18" xfId="12" applyFont="1" applyFill="1" applyBorder="1" applyAlignment="1">
      <alignment horizontal="center" vertical="center" wrapText="1"/>
    </xf>
    <xf numFmtId="0" fontId="2" fillId="0" borderId="20" xfId="12" applyFont="1" applyBorder="1" applyAlignment="1">
      <alignment horizontal="center" vertical="center" wrapText="1"/>
    </xf>
    <xf numFmtId="3" fontId="2" fillId="22" borderId="22" xfId="12" applyNumberFormat="1" applyFill="1" applyBorder="1" applyAlignment="1">
      <alignment horizontal="center" vertical="center"/>
    </xf>
    <xf numFmtId="3" fontId="2" fillId="22" borderId="19" xfId="12" applyNumberFormat="1" applyFill="1" applyBorder="1" applyAlignment="1">
      <alignment horizontal="center" vertical="center"/>
    </xf>
    <xf numFmtId="0" fontId="2" fillId="0" borderId="0" xfId="12"/>
    <xf numFmtId="0" fontId="2" fillId="22" borderId="0" xfId="12" applyFont="1" applyFill="1" applyBorder="1" applyAlignment="1">
      <alignment horizontal="center" vertical="center"/>
    </xf>
    <xf numFmtId="3" fontId="2" fillId="22" borderId="16" xfId="12" applyNumberFormat="1" applyFont="1" applyFill="1" applyBorder="1" applyAlignment="1">
      <alignment horizontal="center" vertical="center" wrapText="1"/>
    </xf>
    <xf numFmtId="3" fontId="2" fillId="22" borderId="12" xfId="12" applyNumberFormat="1" applyFont="1" applyFill="1" applyBorder="1" applyAlignment="1">
      <alignment horizontal="center" vertical="center" wrapText="1"/>
    </xf>
    <xf numFmtId="3" fontId="2" fillId="22" borderId="17" xfId="12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 applyProtection="1">
      <alignment vertical="center"/>
      <protection locked="0" hidden="1"/>
    </xf>
    <xf numFmtId="0" fontId="20" fillId="2" borderId="0" xfId="0" applyFont="1" applyFill="1" applyAlignment="1" applyProtection="1">
      <alignment vertical="center"/>
      <protection locked="0" hidden="1"/>
    </xf>
    <xf numFmtId="0" fontId="20" fillId="2" borderId="0" xfId="0" applyFont="1" applyFill="1" applyAlignment="1" applyProtection="1">
      <alignment horizontal="center" vertical="center"/>
      <protection locked="0" hidden="1"/>
    </xf>
    <xf numFmtId="0" fontId="2" fillId="22" borderId="0" xfId="12" applyFont="1" applyFill="1" applyAlignment="1">
      <alignment horizontal="center" vertical="center"/>
    </xf>
    <xf numFmtId="0" fontId="4" fillId="0" borderId="0" xfId="0" applyFont="1" applyFill="1" applyBorder="1" applyAlignment="1" applyProtection="1">
      <alignment wrapText="1"/>
      <protection hidden="1"/>
    </xf>
    <xf numFmtId="4" fontId="0" fillId="0" borderId="0" xfId="0" applyNumberFormat="1" applyBorder="1"/>
    <xf numFmtId="4" fontId="2" fillId="22" borderId="16" xfId="12" applyNumberFormat="1" applyFill="1" applyBorder="1" applyAlignment="1">
      <alignment horizontal="center" vertical="center"/>
    </xf>
    <xf numFmtId="4" fontId="2" fillId="22" borderId="12" xfId="12" applyNumberFormat="1" applyFill="1" applyBorder="1" applyAlignment="1">
      <alignment horizontal="center" vertical="center"/>
    </xf>
    <xf numFmtId="4" fontId="2" fillId="22" borderId="17" xfId="12" applyNumberFormat="1" applyFill="1" applyBorder="1" applyAlignment="1">
      <alignment horizontal="center" vertical="center"/>
    </xf>
    <xf numFmtId="0" fontId="63" fillId="22" borderId="60" xfId="12" applyFont="1" applyFill="1" applyBorder="1" applyAlignment="1">
      <alignment horizontal="center" vertical="center" wrapText="1"/>
    </xf>
    <xf numFmtId="0" fontId="63" fillId="22" borderId="58" xfId="12" applyFont="1" applyFill="1" applyBorder="1" applyAlignment="1">
      <alignment horizontal="center" vertical="center" wrapText="1"/>
    </xf>
    <xf numFmtId="0" fontId="64" fillId="22" borderId="60" xfId="12" applyFont="1" applyFill="1" applyBorder="1" applyAlignment="1">
      <alignment horizontal="center" vertical="center" wrapText="1"/>
    </xf>
    <xf numFmtId="0" fontId="64" fillId="22" borderId="74" xfId="12" applyFont="1" applyFill="1" applyBorder="1" applyAlignment="1">
      <alignment horizontal="center" vertical="center" wrapText="1"/>
    </xf>
    <xf numFmtId="0" fontId="63" fillId="22" borderId="74" xfId="12" applyFont="1" applyFill="1" applyBorder="1" applyAlignment="1">
      <alignment horizontal="center" vertical="center" wrapText="1"/>
    </xf>
    <xf numFmtId="0" fontId="2" fillId="22" borderId="63" xfId="12" applyFont="1" applyFill="1" applyBorder="1" applyAlignment="1">
      <alignment horizontal="center" vertical="center"/>
    </xf>
    <xf numFmtId="0" fontId="2" fillId="22" borderId="13" xfId="12" applyFont="1" applyFill="1" applyBorder="1" applyAlignment="1">
      <alignment horizontal="center" vertical="center"/>
    </xf>
    <xf numFmtId="0" fontId="2" fillId="22" borderId="51" xfId="12" applyFont="1" applyFill="1" applyBorder="1" applyAlignment="1">
      <alignment horizontal="center" vertical="center"/>
    </xf>
    <xf numFmtId="184" fontId="67" fillId="22" borderId="18" xfId="13" applyNumberFormat="1" applyFont="1" applyFill="1" applyBorder="1" applyAlignment="1">
      <alignment horizontal="center" vertical="center"/>
    </xf>
    <xf numFmtId="184" fontId="67" fillId="22" borderId="21" xfId="13" applyNumberFormat="1" applyFont="1" applyFill="1" applyBorder="1" applyAlignment="1">
      <alignment horizontal="center" vertical="center"/>
    </xf>
    <xf numFmtId="184" fontId="67" fillId="22" borderId="23" xfId="13" applyNumberFormat="1" applyFont="1" applyFill="1" applyBorder="1" applyAlignment="1">
      <alignment horizontal="center" vertical="center"/>
    </xf>
    <xf numFmtId="0" fontId="2" fillId="22" borderId="43" xfId="12" applyFont="1" applyFill="1" applyBorder="1" applyAlignment="1">
      <alignment horizontal="center" vertical="center" wrapText="1"/>
    </xf>
    <xf numFmtId="0" fontId="2" fillId="22" borderId="37" xfId="12" applyFont="1" applyFill="1" applyBorder="1" applyAlignment="1">
      <alignment horizontal="center" vertical="center" wrapText="1"/>
    </xf>
    <xf numFmtId="0" fontId="0" fillId="29" borderId="0" xfId="0" applyFill="1"/>
    <xf numFmtId="0" fontId="71" fillId="2" borderId="0" xfId="0" quotePrefix="1" applyFont="1" applyFill="1" applyBorder="1" applyAlignment="1" applyProtection="1">
      <alignment horizontal="left" vertical="center"/>
    </xf>
    <xf numFmtId="0" fontId="72" fillId="2" borderId="0" xfId="0" quotePrefix="1" applyFont="1" applyFill="1" applyBorder="1" applyAlignment="1" applyProtection="1">
      <alignment horizontal="center" vertical="center"/>
    </xf>
    <xf numFmtId="0" fontId="70" fillId="2" borderId="0" xfId="0" applyFont="1" applyFill="1" applyBorder="1"/>
    <xf numFmtId="0" fontId="70" fillId="2" borderId="0" xfId="0" applyFont="1" applyFill="1" applyBorder="1" applyAlignment="1">
      <alignment horizontal="center"/>
    </xf>
    <xf numFmtId="0" fontId="70" fillId="2" borderId="0" xfId="0" applyFont="1" applyFill="1"/>
    <xf numFmtId="0" fontId="71" fillId="11" borderId="43" xfId="0" applyFont="1" applyFill="1" applyBorder="1" applyAlignment="1" applyProtection="1">
      <alignment horizontal="center" vertical="center"/>
      <protection hidden="1"/>
    </xf>
    <xf numFmtId="0" fontId="71" fillId="11" borderId="37" xfId="0" applyFont="1" applyFill="1" applyBorder="1" applyAlignment="1" applyProtection="1">
      <alignment horizontal="center" vertical="center" wrapText="1"/>
      <protection hidden="1"/>
    </xf>
    <xf numFmtId="0" fontId="71" fillId="11" borderId="37" xfId="0" applyFont="1" applyFill="1" applyBorder="1" applyAlignment="1" applyProtection="1">
      <alignment horizontal="center" vertical="center"/>
      <protection hidden="1"/>
    </xf>
    <xf numFmtId="0" fontId="71" fillId="11" borderId="38" xfId="0" applyFont="1" applyFill="1" applyBorder="1" applyAlignment="1" applyProtection="1">
      <alignment horizontal="center" vertical="center" wrapText="1"/>
      <protection hidden="1"/>
    </xf>
    <xf numFmtId="0" fontId="73" fillId="11" borderId="43" xfId="0" applyFont="1" applyFill="1" applyBorder="1" applyAlignment="1" applyProtection="1">
      <alignment horizontal="center" vertical="center"/>
      <protection hidden="1"/>
    </xf>
    <xf numFmtId="0" fontId="73" fillId="11" borderId="37" xfId="0" applyFont="1" applyFill="1" applyBorder="1" applyAlignment="1" applyProtection="1">
      <alignment horizontal="center" vertical="center" wrapText="1"/>
      <protection hidden="1"/>
    </xf>
    <xf numFmtId="0" fontId="73" fillId="11" borderId="37" xfId="0" applyFont="1" applyFill="1" applyBorder="1" applyAlignment="1" applyProtection="1">
      <alignment horizontal="center" vertical="center"/>
      <protection hidden="1"/>
    </xf>
    <xf numFmtId="0" fontId="73" fillId="11" borderId="38" xfId="0" applyFont="1" applyFill="1" applyBorder="1" applyAlignment="1" applyProtection="1">
      <alignment horizontal="center" vertical="center" wrapText="1"/>
      <protection hidden="1"/>
    </xf>
    <xf numFmtId="0" fontId="71" fillId="11" borderId="32" xfId="0" applyFont="1" applyFill="1" applyBorder="1" applyAlignment="1" applyProtection="1">
      <alignment horizontal="center" vertical="center"/>
      <protection hidden="1"/>
    </xf>
    <xf numFmtId="0" fontId="71" fillId="11" borderId="59" xfId="0" applyFont="1" applyFill="1" applyBorder="1" applyAlignment="1" applyProtection="1">
      <alignment horizontal="center" vertical="center" wrapText="1"/>
      <protection hidden="1"/>
    </xf>
    <xf numFmtId="0" fontId="71" fillId="11" borderId="43" xfId="0" applyFont="1" applyFill="1" applyBorder="1" applyAlignment="1" applyProtection="1">
      <alignment horizontal="center" vertical="center" wrapText="1"/>
      <protection hidden="1"/>
    </xf>
    <xf numFmtId="0" fontId="71" fillId="11" borderId="34" xfId="0" applyFont="1" applyFill="1" applyBorder="1" applyAlignment="1" applyProtection="1">
      <alignment horizontal="center" vertical="center" wrapText="1"/>
      <protection hidden="1"/>
    </xf>
    <xf numFmtId="0" fontId="71" fillId="2" borderId="0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horizontal="center" vertical="center" wrapText="1"/>
    </xf>
    <xf numFmtId="0" fontId="71" fillId="13" borderId="39" xfId="0" applyFont="1" applyFill="1" applyBorder="1" applyAlignment="1" applyProtection="1">
      <alignment horizontal="center"/>
      <protection hidden="1"/>
    </xf>
    <xf numFmtId="0" fontId="78" fillId="12" borderId="39" xfId="0" applyFont="1" applyFill="1" applyBorder="1" applyAlignment="1" applyProtection="1">
      <alignment horizontal="center"/>
      <protection locked="0" hidden="1"/>
    </xf>
    <xf numFmtId="0" fontId="71" fillId="13" borderId="18" xfId="0" applyFont="1" applyFill="1" applyBorder="1" applyAlignment="1" applyProtection="1">
      <alignment horizontal="center"/>
      <protection hidden="1"/>
    </xf>
    <xf numFmtId="0" fontId="70" fillId="12" borderId="16" xfId="0" applyFont="1" applyFill="1" applyBorder="1" applyAlignment="1" applyProtection="1">
      <alignment horizontal="center"/>
      <protection locked="0" hidden="1"/>
    </xf>
    <xf numFmtId="0" fontId="71" fillId="13" borderId="16" xfId="0" applyFont="1" applyFill="1" applyBorder="1" applyAlignment="1" applyProtection="1">
      <alignment horizontal="center"/>
      <protection hidden="1"/>
    </xf>
    <xf numFmtId="0" fontId="70" fillId="12" borderId="20" xfId="0" applyFont="1" applyFill="1" applyBorder="1" applyAlignment="1" applyProtection="1">
      <alignment horizontal="center"/>
      <protection locked="0" hidden="1"/>
    </xf>
    <xf numFmtId="0" fontId="78" fillId="12" borderId="48" xfId="0" applyFont="1" applyFill="1" applyBorder="1" applyAlignment="1" applyProtection="1">
      <alignment horizontal="center"/>
      <protection locked="0" hidden="1"/>
    </xf>
    <xf numFmtId="0" fontId="78" fillId="12" borderId="62" xfId="0" applyFont="1" applyFill="1" applyBorder="1" applyAlignment="1" applyProtection="1">
      <alignment horizontal="center"/>
      <protection locked="0" hidden="1"/>
    </xf>
    <xf numFmtId="0" fontId="71" fillId="11" borderId="39" xfId="0" applyFont="1" applyFill="1" applyBorder="1" applyAlignment="1" applyProtection="1">
      <alignment horizontal="center"/>
      <protection hidden="1"/>
    </xf>
    <xf numFmtId="0" fontId="77" fillId="12" borderId="63" xfId="0" applyFont="1" applyFill="1" applyBorder="1" applyAlignment="1" applyProtection="1">
      <alignment horizontal="center"/>
      <protection locked="0" hidden="1"/>
    </xf>
    <xf numFmtId="0" fontId="70" fillId="11" borderId="12" xfId="0" applyFont="1" applyFill="1" applyBorder="1" applyAlignment="1" applyProtection="1">
      <alignment horizontal="center"/>
      <protection hidden="1"/>
    </xf>
    <xf numFmtId="1" fontId="70" fillId="11" borderId="22" xfId="0" applyNumberFormat="1" applyFont="1" applyFill="1" applyBorder="1" applyAlignment="1" applyProtection="1">
      <alignment horizontal="center"/>
      <protection hidden="1"/>
    </xf>
    <xf numFmtId="9" fontId="70" fillId="11" borderId="18" xfId="7" applyFont="1" applyFill="1" applyBorder="1" applyAlignment="1" applyProtection="1">
      <alignment horizontal="center"/>
      <protection hidden="1"/>
    </xf>
    <xf numFmtId="169" fontId="70" fillId="11" borderId="16" xfId="7" applyNumberFormat="1" applyFont="1" applyFill="1" applyBorder="1" applyAlignment="1" applyProtection="1">
      <alignment horizontal="center"/>
      <protection hidden="1"/>
    </xf>
    <xf numFmtId="169" fontId="77" fillId="12" borderId="20" xfId="7" applyNumberFormat="1" applyFont="1" applyFill="1" applyBorder="1" applyAlignment="1" applyProtection="1">
      <alignment horizontal="center"/>
      <protection locked="0" hidden="1"/>
    </xf>
    <xf numFmtId="0" fontId="77" fillId="12" borderId="34" xfId="0" applyFont="1" applyFill="1" applyBorder="1" applyAlignment="1" applyProtection="1">
      <alignment horizontal="center"/>
      <protection locked="0" hidden="1"/>
    </xf>
    <xf numFmtId="0" fontId="71" fillId="13" borderId="40" xfId="0" applyFont="1" applyFill="1" applyBorder="1" applyAlignment="1" applyProtection="1">
      <alignment horizontal="center"/>
      <protection hidden="1"/>
    </xf>
    <xf numFmtId="0" fontId="78" fillId="12" borderId="40" xfId="0" applyFont="1" applyFill="1" applyBorder="1" applyAlignment="1" applyProtection="1">
      <alignment horizontal="center"/>
      <protection locked="0" hidden="1"/>
    </xf>
    <xf numFmtId="0" fontId="71" fillId="13" borderId="21" xfId="0" applyFont="1" applyFill="1" applyBorder="1" applyAlignment="1" applyProtection="1">
      <alignment horizontal="center"/>
      <protection hidden="1"/>
    </xf>
    <xf numFmtId="0" fontId="70" fillId="12" borderId="12" xfId="0" applyFont="1" applyFill="1" applyBorder="1" applyAlignment="1" applyProtection="1">
      <alignment horizontal="center"/>
      <protection locked="0" hidden="1"/>
    </xf>
    <xf numFmtId="0" fontId="71" fillId="13" borderId="12" xfId="0" applyFont="1" applyFill="1" applyBorder="1" applyAlignment="1" applyProtection="1">
      <alignment horizontal="center"/>
      <protection hidden="1"/>
    </xf>
    <xf numFmtId="0" fontId="70" fillId="12" borderId="22" xfId="0" applyFont="1" applyFill="1" applyBorder="1" applyAlignment="1" applyProtection="1">
      <alignment horizontal="center"/>
      <protection locked="0" hidden="1"/>
    </xf>
    <xf numFmtId="0" fontId="78" fillId="12" borderId="49" xfId="0" applyFont="1" applyFill="1" applyBorder="1" applyAlignment="1" applyProtection="1">
      <alignment horizontal="center"/>
      <protection locked="0" hidden="1"/>
    </xf>
    <xf numFmtId="0" fontId="78" fillId="12" borderId="50" xfId="0" applyFont="1" applyFill="1" applyBorder="1" applyAlignment="1" applyProtection="1">
      <alignment horizontal="center"/>
      <protection locked="0" hidden="1"/>
    </xf>
    <xf numFmtId="0" fontId="71" fillId="11" borderId="40" xfId="0" applyFont="1" applyFill="1" applyBorder="1" applyAlignment="1" applyProtection="1">
      <alignment horizontal="center"/>
      <protection hidden="1"/>
    </xf>
    <xf numFmtId="0" fontId="77" fillId="12" borderId="13" xfId="0" applyFont="1" applyFill="1" applyBorder="1" applyAlignment="1" applyProtection="1">
      <alignment horizontal="center"/>
      <protection locked="0" hidden="1"/>
    </xf>
    <xf numFmtId="9" fontId="70" fillId="11" borderId="21" xfId="7" applyFont="1" applyFill="1" applyBorder="1" applyAlignment="1" applyProtection="1">
      <alignment horizontal="center"/>
      <protection hidden="1"/>
    </xf>
    <xf numFmtId="169" fontId="70" fillId="11" borderId="12" xfId="7" applyNumberFormat="1" applyFont="1" applyFill="1" applyBorder="1" applyAlignment="1" applyProtection="1">
      <alignment horizontal="center"/>
      <protection hidden="1"/>
    </xf>
    <xf numFmtId="169" fontId="77" fillId="12" borderId="22" xfId="7" applyNumberFormat="1" applyFont="1" applyFill="1" applyBorder="1" applyAlignment="1" applyProtection="1">
      <alignment horizontal="center"/>
      <protection locked="0" hidden="1"/>
    </xf>
    <xf numFmtId="0" fontId="71" fillId="13" borderId="41" xfId="0" applyFont="1" applyFill="1" applyBorder="1" applyAlignment="1" applyProtection="1">
      <alignment horizontal="center"/>
      <protection hidden="1"/>
    </xf>
    <xf numFmtId="0" fontId="71" fillId="9" borderId="21" xfId="0" applyFont="1" applyFill="1" applyBorder="1" applyAlignment="1" applyProtection="1">
      <alignment horizontal="center"/>
      <protection hidden="1"/>
    </xf>
    <xf numFmtId="9" fontId="70" fillId="11" borderId="23" xfId="7" applyFont="1" applyFill="1" applyBorder="1" applyAlignment="1" applyProtection="1">
      <alignment horizontal="center"/>
      <protection hidden="1"/>
    </xf>
    <xf numFmtId="169" fontId="70" fillId="11" borderId="17" xfId="7" applyNumberFormat="1" applyFont="1" applyFill="1" applyBorder="1" applyAlignment="1" applyProtection="1">
      <alignment horizontal="center"/>
      <protection hidden="1"/>
    </xf>
    <xf numFmtId="169" fontId="77" fillId="12" borderId="19" xfId="7" applyNumberFormat="1" applyFont="1" applyFill="1" applyBorder="1" applyAlignment="1" applyProtection="1">
      <alignment horizontal="center"/>
      <protection locked="0" hidden="1"/>
    </xf>
    <xf numFmtId="0" fontId="70" fillId="11" borderId="32" xfId="0" applyFont="1" applyFill="1" applyBorder="1" applyAlignment="1" applyProtection="1">
      <alignment horizontal="center"/>
      <protection hidden="1"/>
    </xf>
    <xf numFmtId="169" fontId="70" fillId="11" borderId="37" xfId="0" applyNumberFormat="1" applyFont="1" applyFill="1" applyBorder="1" applyAlignment="1" applyProtection="1">
      <alignment horizontal="center"/>
      <protection hidden="1"/>
    </xf>
    <xf numFmtId="169" fontId="70" fillId="11" borderId="33" xfId="0" applyNumberFormat="1" applyFont="1" applyFill="1" applyBorder="1" applyAlignment="1" applyProtection="1">
      <alignment horizontal="center"/>
      <protection hidden="1"/>
    </xf>
    <xf numFmtId="0" fontId="71" fillId="5" borderId="21" xfId="0" applyFont="1" applyFill="1" applyBorder="1" applyAlignment="1" applyProtection="1">
      <alignment horizontal="center"/>
      <protection hidden="1"/>
    </xf>
    <xf numFmtId="0" fontId="71" fillId="11" borderId="42" xfId="0" applyFont="1" applyFill="1" applyBorder="1" applyAlignment="1" applyProtection="1">
      <alignment horizontal="center"/>
      <protection hidden="1"/>
    </xf>
    <xf numFmtId="0" fontId="77" fillId="12" borderId="51" xfId="0" applyFont="1" applyFill="1" applyBorder="1" applyAlignment="1" applyProtection="1">
      <alignment horizontal="center"/>
      <protection locked="0" hidden="1"/>
    </xf>
    <xf numFmtId="0" fontId="70" fillId="11" borderId="17" xfId="0" applyFont="1" applyFill="1" applyBorder="1" applyAlignment="1" applyProtection="1">
      <alignment horizontal="center"/>
      <protection hidden="1"/>
    </xf>
    <xf numFmtId="1" fontId="70" fillId="11" borderId="19" xfId="0" applyNumberFormat="1" applyFont="1" applyFill="1" applyBorder="1" applyAlignment="1" applyProtection="1">
      <alignment horizontal="center"/>
      <protection hidden="1"/>
    </xf>
    <xf numFmtId="0" fontId="71" fillId="2" borderId="0" xfId="0" applyFont="1" applyFill="1" applyBorder="1"/>
    <xf numFmtId="0" fontId="70" fillId="22" borderId="0" xfId="0" applyFont="1" applyFill="1"/>
    <xf numFmtId="0" fontId="70" fillId="2" borderId="0" xfId="0" applyFont="1" applyFill="1" applyAlignment="1">
      <alignment horizontal="center"/>
    </xf>
    <xf numFmtId="0" fontId="79" fillId="2" borderId="0" xfId="0" applyFont="1" applyFill="1" applyBorder="1"/>
    <xf numFmtId="0" fontId="70" fillId="22" borderId="37" xfId="0" applyFont="1" applyFill="1" applyBorder="1"/>
    <xf numFmtId="0" fontId="71" fillId="11" borderId="37" xfId="0" applyFont="1" applyFill="1" applyBorder="1" applyAlignment="1" applyProtection="1">
      <alignment horizontal="center"/>
      <protection hidden="1"/>
    </xf>
    <xf numFmtId="1" fontId="71" fillId="11" borderId="38" xfId="0" applyNumberFormat="1" applyFont="1" applyFill="1" applyBorder="1" applyAlignment="1" applyProtection="1">
      <alignment horizontal="center"/>
      <protection hidden="1"/>
    </xf>
    <xf numFmtId="9" fontId="79" fillId="2" borderId="0" xfId="0" applyNumberFormat="1" applyFont="1" applyFill="1" applyBorder="1"/>
    <xf numFmtId="169" fontId="79" fillId="2" borderId="0" xfId="0" applyNumberFormat="1" applyFont="1" applyFill="1" applyBorder="1"/>
    <xf numFmtId="0" fontId="70" fillId="0" borderId="0" xfId="0" applyFont="1"/>
    <xf numFmtId="0" fontId="71" fillId="11" borderId="34" xfId="0" applyFont="1" applyFill="1" applyBorder="1" applyAlignment="1" applyProtection="1">
      <alignment horizontal="center"/>
      <protection hidden="1"/>
    </xf>
    <xf numFmtId="0" fontId="70" fillId="22" borderId="35" xfId="0" applyFont="1" applyFill="1" applyBorder="1" applyAlignment="1"/>
    <xf numFmtId="0" fontId="70" fillId="22" borderId="35" xfId="0" applyFont="1" applyFill="1" applyBorder="1"/>
    <xf numFmtId="0" fontId="71" fillId="11" borderId="32" xfId="0" applyFont="1" applyFill="1" applyBorder="1" applyAlignment="1" applyProtection="1">
      <alignment horizontal="center"/>
      <protection hidden="1"/>
    </xf>
    <xf numFmtId="0" fontId="71" fillId="11" borderId="38" xfId="0" applyFont="1" applyFill="1" applyBorder="1" applyAlignment="1" applyProtection="1">
      <alignment horizontal="center"/>
      <protection hidden="1"/>
    </xf>
    <xf numFmtId="0" fontId="71" fillId="22" borderId="16" xfId="0" applyFont="1" applyFill="1" applyBorder="1" applyAlignment="1">
      <alignment horizontal="center"/>
    </xf>
    <xf numFmtId="0" fontId="71" fillId="11" borderId="20" xfId="0" applyFont="1" applyFill="1" applyBorder="1" applyAlignment="1" applyProtection="1">
      <alignment horizontal="center"/>
      <protection hidden="1"/>
    </xf>
    <xf numFmtId="0" fontId="70" fillId="22" borderId="17" xfId="0" applyFont="1" applyFill="1" applyBorder="1"/>
    <xf numFmtId="3" fontId="71" fillId="11" borderId="19" xfId="0" applyNumberFormat="1" applyFont="1" applyFill="1" applyBorder="1" applyAlignment="1" applyProtection="1">
      <alignment horizontal="center"/>
      <protection hidden="1"/>
    </xf>
    <xf numFmtId="0" fontId="70" fillId="22" borderId="0" xfId="0" applyFont="1" applyFill="1" applyBorder="1"/>
    <xf numFmtId="0" fontId="78" fillId="12" borderId="42" xfId="0" applyFont="1" applyFill="1" applyBorder="1" applyAlignment="1" applyProtection="1">
      <alignment horizontal="center"/>
      <protection locked="0" hidden="1"/>
    </xf>
    <xf numFmtId="0" fontId="71" fillId="13" borderId="42" xfId="0" applyFont="1" applyFill="1" applyBorder="1" applyAlignment="1" applyProtection="1">
      <alignment horizontal="center"/>
      <protection hidden="1"/>
    </xf>
    <xf numFmtId="0" fontId="71" fillId="13" borderId="23" xfId="0" applyFont="1" applyFill="1" applyBorder="1" applyAlignment="1" applyProtection="1">
      <alignment horizontal="center"/>
      <protection hidden="1"/>
    </xf>
    <xf numFmtId="0" fontId="70" fillId="12" borderId="17" xfId="0" applyFont="1" applyFill="1" applyBorder="1" applyAlignment="1" applyProtection="1">
      <alignment horizontal="center"/>
      <protection locked="0" hidden="1"/>
    </xf>
    <xf numFmtId="0" fontId="71" fillId="13" borderId="17" xfId="0" applyFont="1" applyFill="1" applyBorder="1" applyAlignment="1" applyProtection="1">
      <alignment horizontal="center"/>
      <protection hidden="1"/>
    </xf>
    <xf numFmtId="0" fontId="70" fillId="12" borderId="19" xfId="0" applyFont="1" applyFill="1" applyBorder="1" applyAlignment="1" applyProtection="1">
      <alignment horizontal="center"/>
      <protection locked="0" hidden="1"/>
    </xf>
    <xf numFmtId="0" fontId="78" fillId="12" borderId="55" xfId="0" applyFont="1" applyFill="1" applyBorder="1" applyAlignment="1" applyProtection="1">
      <alignment horizontal="center"/>
      <protection locked="0" hidden="1"/>
    </xf>
    <xf numFmtId="0" fontId="78" fillId="12" borderId="47" xfId="0" applyFont="1" applyFill="1" applyBorder="1" applyAlignment="1" applyProtection="1">
      <alignment horizontal="center"/>
      <protection locked="0" hidden="1"/>
    </xf>
    <xf numFmtId="0" fontId="73" fillId="11" borderId="34" xfId="0" applyFont="1" applyFill="1" applyBorder="1" applyProtection="1">
      <protection hidden="1"/>
    </xf>
    <xf numFmtId="0" fontId="71" fillId="11" borderId="35" xfId="0" applyFont="1" applyFill="1" applyBorder="1" applyAlignment="1" applyProtection="1">
      <alignment horizontal="center"/>
      <protection hidden="1"/>
    </xf>
    <xf numFmtId="0" fontId="71" fillId="11" borderId="33" xfId="0" applyFont="1" applyFill="1" applyBorder="1" applyAlignment="1" applyProtection="1">
      <alignment horizontal="center"/>
      <protection hidden="1"/>
    </xf>
    <xf numFmtId="0" fontId="73" fillId="11" borderId="11" xfId="0" applyFont="1" applyFill="1" applyBorder="1" applyProtection="1"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0" fontId="71" fillId="11" borderId="7" xfId="0" applyFont="1" applyFill="1" applyBorder="1" applyAlignment="1" applyProtection="1">
      <alignment horizontal="center"/>
      <protection hidden="1"/>
    </xf>
    <xf numFmtId="0" fontId="70" fillId="2" borderId="0" xfId="0" applyFont="1" applyFill="1" applyAlignment="1" applyProtection="1">
      <alignment vertical="center"/>
    </xf>
    <xf numFmtId="0" fontId="80" fillId="11" borderId="39" xfId="0" applyFont="1" applyFill="1" applyBorder="1" applyAlignment="1" applyProtection="1">
      <alignment vertical="center" wrapText="1"/>
      <protection hidden="1"/>
    </xf>
    <xf numFmtId="0" fontId="80" fillId="2" borderId="0" xfId="0" applyFont="1" applyFill="1" applyBorder="1" applyAlignment="1" applyProtection="1">
      <alignment vertical="center" wrapText="1"/>
    </xf>
    <xf numFmtId="0" fontId="80" fillId="11" borderId="40" xfId="0" applyFont="1" applyFill="1" applyBorder="1" applyAlignment="1" applyProtection="1">
      <alignment vertical="center" wrapText="1"/>
      <protection hidden="1"/>
    </xf>
    <xf numFmtId="0" fontId="80" fillId="11" borderId="22" xfId="0" applyFont="1" applyFill="1" applyBorder="1" applyAlignment="1" applyProtection="1">
      <alignment horizontal="center" vertical="center" wrapText="1"/>
      <protection hidden="1"/>
    </xf>
    <xf numFmtId="0" fontId="80" fillId="11" borderId="40" xfId="0" applyFont="1" applyFill="1" applyBorder="1" applyAlignment="1" applyProtection="1">
      <alignment vertical="center"/>
      <protection hidden="1"/>
    </xf>
    <xf numFmtId="0" fontId="82" fillId="2" borderId="0" xfId="0" applyFont="1" applyFill="1" applyBorder="1" applyAlignment="1">
      <alignment vertical="center"/>
    </xf>
    <xf numFmtId="0" fontId="80" fillId="11" borderId="42" xfId="0" applyFont="1" applyFill="1" applyBorder="1" applyAlignment="1" applyProtection="1">
      <alignment vertical="center" wrapText="1"/>
      <protection hidden="1"/>
    </xf>
    <xf numFmtId="0" fontId="80" fillId="2" borderId="0" xfId="0" applyFont="1" applyFill="1" applyAlignment="1" applyProtection="1">
      <alignment vertical="center"/>
    </xf>
    <xf numFmtId="0" fontId="70" fillId="11" borderId="37" xfId="0" applyFont="1" applyFill="1" applyBorder="1" applyAlignment="1" applyProtection="1">
      <alignment horizontal="center" vertical="center"/>
      <protection hidden="1"/>
    </xf>
    <xf numFmtId="166" fontId="80" fillId="11" borderId="38" xfId="2" applyNumberFormat="1" applyFont="1" applyFill="1" applyBorder="1" applyAlignment="1" applyProtection="1">
      <alignment horizontal="right" vertical="center"/>
      <protection hidden="1"/>
    </xf>
    <xf numFmtId="0" fontId="70" fillId="2" borderId="0" xfId="0" applyFont="1" applyFill="1" applyAlignment="1" applyProtection="1">
      <alignment horizontal="center" vertical="center"/>
    </xf>
    <xf numFmtId="166" fontId="80" fillId="2" borderId="0" xfId="2" applyNumberFormat="1" applyFont="1" applyFill="1" applyAlignment="1" applyProtection="1">
      <alignment horizontal="right" vertical="center"/>
    </xf>
    <xf numFmtId="0" fontId="70" fillId="2" borderId="0" xfId="0" applyFont="1" applyFill="1" applyBorder="1" applyAlignment="1" applyProtection="1">
      <alignment horizontal="center" vertical="center"/>
    </xf>
    <xf numFmtId="166" fontId="80" fillId="2" borderId="0" xfId="2" applyNumberFormat="1" applyFont="1" applyFill="1" applyBorder="1" applyAlignment="1" applyProtection="1">
      <alignment horizontal="right" vertical="center"/>
      <protection locked="0"/>
    </xf>
    <xf numFmtId="0" fontId="70" fillId="11" borderId="37" xfId="0" applyFont="1" applyFill="1" applyBorder="1" applyAlignment="1" applyProtection="1">
      <alignment horizontal="center" vertical="center" wrapText="1"/>
      <protection hidden="1"/>
    </xf>
    <xf numFmtId="0" fontId="80" fillId="2" borderId="3" xfId="0" applyFont="1" applyFill="1" applyBorder="1" applyAlignment="1" applyProtection="1">
      <alignment vertical="center"/>
    </xf>
    <xf numFmtId="0" fontId="80" fillId="2" borderId="4" xfId="0" applyFont="1" applyFill="1" applyBorder="1" applyAlignment="1" applyProtection="1">
      <alignment vertical="center"/>
    </xf>
    <xf numFmtId="0" fontId="70" fillId="2" borderId="4" xfId="0" applyFont="1" applyFill="1" applyBorder="1" applyAlignment="1" applyProtection="1">
      <alignment horizontal="center" vertical="center"/>
    </xf>
    <xf numFmtId="0" fontId="70" fillId="11" borderId="16" xfId="0" applyFont="1" applyFill="1" applyBorder="1" applyAlignment="1" applyProtection="1">
      <alignment horizontal="center" vertical="center"/>
      <protection hidden="1"/>
    </xf>
    <xf numFmtId="0" fontId="70" fillId="11" borderId="12" xfId="0" applyFont="1" applyFill="1" applyBorder="1" applyAlignment="1" applyProtection="1">
      <alignment horizontal="center" vertical="center"/>
      <protection hidden="1"/>
    </xf>
    <xf numFmtId="43" fontId="81" fillId="12" borderId="22" xfId="2" applyNumberFormat="1" applyFont="1" applyFill="1" applyBorder="1" applyAlignment="1" applyProtection="1">
      <alignment horizontal="right" vertical="center"/>
      <protection locked="0" hidden="1"/>
    </xf>
    <xf numFmtId="43" fontId="81" fillId="12" borderId="57" xfId="2" applyNumberFormat="1" applyFont="1" applyFill="1" applyBorder="1" applyAlignment="1" applyProtection="1">
      <alignment horizontal="right" vertical="center"/>
      <protection locked="0" hidden="1"/>
    </xf>
    <xf numFmtId="43" fontId="81" fillId="12" borderId="25" xfId="2" applyNumberFormat="1" applyFont="1" applyFill="1" applyBorder="1" applyAlignment="1" applyProtection="1">
      <alignment horizontal="right" vertical="center"/>
      <protection locked="0" hidden="1"/>
    </xf>
    <xf numFmtId="0" fontId="70" fillId="11" borderId="17" xfId="0" applyFont="1" applyFill="1" applyBorder="1" applyAlignment="1" applyProtection="1">
      <alignment horizontal="center" vertical="center"/>
      <protection hidden="1"/>
    </xf>
    <xf numFmtId="43" fontId="81" fillId="12" borderId="58" xfId="2" applyNumberFormat="1" applyFont="1" applyFill="1" applyBorder="1" applyAlignment="1" applyProtection="1">
      <alignment horizontal="right" vertical="center"/>
      <protection locked="0" hidden="1"/>
    </xf>
    <xf numFmtId="0" fontId="80" fillId="2" borderId="0" xfId="0" applyFont="1" applyFill="1" applyBorder="1" applyAlignment="1" applyProtection="1">
      <alignment vertical="center"/>
    </xf>
    <xf numFmtId="0" fontId="70" fillId="2" borderId="0" xfId="0" applyFont="1" applyFill="1" applyBorder="1" applyAlignment="1" applyProtection="1">
      <alignment horizontal="center" vertical="center"/>
      <protection hidden="1"/>
    </xf>
    <xf numFmtId="43" fontId="81" fillId="2" borderId="0" xfId="2" applyNumberFormat="1" applyFont="1" applyFill="1" applyBorder="1" applyAlignment="1" applyProtection="1">
      <alignment horizontal="right" vertical="center"/>
      <protection locked="0" hidden="1"/>
    </xf>
    <xf numFmtId="166" fontId="80" fillId="0" borderId="0" xfId="2" applyNumberFormat="1" applyFont="1" applyFill="1" applyBorder="1" applyAlignment="1" applyProtection="1">
      <alignment horizontal="right" vertical="center"/>
    </xf>
    <xf numFmtId="0" fontId="80" fillId="2" borderId="0" xfId="0" applyFont="1" applyFill="1" applyAlignment="1" applyProtection="1">
      <alignment vertical="center"/>
      <protection hidden="1"/>
    </xf>
    <xf numFmtId="0" fontId="80" fillId="2" borderId="0" xfId="0" applyFont="1" applyFill="1" applyBorder="1" applyAlignment="1" applyProtection="1">
      <alignment horizontal="center" vertical="center"/>
      <protection hidden="1"/>
    </xf>
    <xf numFmtId="0" fontId="80" fillId="2" borderId="0" xfId="0" applyFont="1" applyFill="1" applyAlignment="1" applyProtection="1">
      <alignment horizontal="center" vertical="center"/>
      <protection hidden="1"/>
    </xf>
    <xf numFmtId="0" fontId="80" fillId="2" borderId="0" xfId="0" applyFont="1" applyFill="1" applyBorder="1" applyAlignment="1" applyProtection="1">
      <alignment vertical="center"/>
      <protection hidden="1"/>
    </xf>
    <xf numFmtId="0" fontId="69" fillId="11" borderId="34" xfId="0" applyFont="1" applyFill="1" applyBorder="1" applyAlignment="1" applyProtection="1">
      <alignment horizontal="center" vertical="center"/>
      <protection hidden="1"/>
    </xf>
    <xf numFmtId="0" fontId="69" fillId="2" borderId="0" xfId="0" applyFont="1" applyFill="1" applyBorder="1" applyAlignment="1" applyProtection="1">
      <alignment horizontal="center" vertical="center"/>
      <protection hidden="1"/>
    </xf>
    <xf numFmtId="0" fontId="80" fillId="11" borderId="34" xfId="0" applyFont="1" applyFill="1" applyBorder="1" applyAlignment="1" applyProtection="1">
      <alignment vertical="center"/>
      <protection hidden="1"/>
    </xf>
    <xf numFmtId="0" fontId="80" fillId="12" borderId="9" xfId="0" applyFont="1" applyFill="1" applyBorder="1" applyAlignment="1" applyProtection="1">
      <alignment horizontal="center" vertical="center"/>
      <protection hidden="1"/>
    </xf>
    <xf numFmtId="0" fontId="71" fillId="2" borderId="0" xfId="0" applyFont="1" applyFill="1" applyBorder="1" applyAlignment="1" applyProtection="1">
      <alignment horizontal="center" vertical="center"/>
      <protection hidden="1"/>
    </xf>
    <xf numFmtId="0" fontId="80" fillId="12" borderId="11" xfId="0" applyFont="1" applyFill="1" applyBorder="1" applyAlignment="1" applyProtection="1">
      <alignment vertical="center"/>
      <protection locked="0" hidden="1"/>
    </xf>
    <xf numFmtId="3" fontId="81" fillId="12" borderId="36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37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38" xfId="2" applyNumberFormat="1" applyFont="1" applyFill="1" applyBorder="1" applyAlignment="1" applyProtection="1">
      <alignment horizontal="center" vertical="center"/>
      <protection locked="0" hidden="1"/>
    </xf>
    <xf numFmtId="3" fontId="80" fillId="2" borderId="0" xfId="2" applyNumberFormat="1" applyFont="1" applyFill="1" applyBorder="1" applyAlignment="1" applyProtection="1">
      <alignment horizontal="center" vertical="center"/>
      <protection hidden="1"/>
    </xf>
    <xf numFmtId="3" fontId="81" fillId="0" borderId="0" xfId="2" applyNumberFormat="1" applyFont="1" applyFill="1" applyBorder="1" applyAlignment="1" applyProtection="1">
      <alignment horizontal="center" vertical="center"/>
      <protection hidden="1"/>
    </xf>
    <xf numFmtId="3" fontId="81" fillId="2" borderId="0" xfId="2" applyNumberFormat="1" applyFont="1" applyFill="1" applyBorder="1" applyAlignment="1" applyProtection="1">
      <alignment horizontal="center" vertical="center"/>
      <protection hidden="1"/>
    </xf>
    <xf numFmtId="0" fontId="80" fillId="11" borderId="34" xfId="0" applyFont="1" applyFill="1" applyBorder="1" applyAlignment="1" applyProtection="1">
      <alignment horizontal="center" vertical="center"/>
      <protection hidden="1"/>
    </xf>
    <xf numFmtId="0" fontId="80" fillId="2" borderId="6" xfId="0" applyFont="1" applyFill="1" applyBorder="1" applyAlignment="1" applyProtection="1">
      <alignment horizontal="center" vertical="center"/>
      <protection hidden="1"/>
    </xf>
    <xf numFmtId="3" fontId="80" fillId="11" borderId="32" xfId="2" applyNumberFormat="1" applyFont="1" applyFill="1" applyBorder="1" applyAlignment="1" applyProtection="1">
      <alignment horizontal="center" vertical="center"/>
      <protection hidden="1"/>
    </xf>
    <xf numFmtId="3" fontId="80" fillId="11" borderId="34" xfId="2" applyNumberFormat="1" applyFont="1" applyFill="1" applyBorder="1" applyAlignment="1" applyProtection="1">
      <alignment horizontal="center" vertical="center"/>
      <protection hidden="1"/>
    </xf>
    <xf numFmtId="3" fontId="80" fillId="2" borderId="0" xfId="2" applyNumberFormat="1" applyFont="1" applyFill="1" applyBorder="1" applyAlignment="1" applyProtection="1">
      <alignment vertical="center"/>
      <protection hidden="1"/>
    </xf>
    <xf numFmtId="171" fontId="80" fillId="2" borderId="0" xfId="0" applyNumberFormat="1" applyFont="1" applyFill="1" applyAlignment="1" applyProtection="1">
      <alignment vertical="center"/>
      <protection hidden="1"/>
    </xf>
    <xf numFmtId="171" fontId="80" fillId="2" borderId="0" xfId="0" applyNumberFormat="1" applyFont="1" applyFill="1" applyBorder="1" applyAlignment="1" applyProtection="1">
      <alignment vertical="center"/>
      <protection hidden="1"/>
    </xf>
    <xf numFmtId="171" fontId="80" fillId="2" borderId="0" xfId="0" applyNumberFormat="1" applyFont="1" applyFill="1" applyAlignment="1" applyProtection="1">
      <alignment horizontal="right" vertical="center"/>
      <protection hidden="1"/>
    </xf>
    <xf numFmtId="171" fontId="80" fillId="2" borderId="0" xfId="0" applyNumberFormat="1" applyFont="1" applyFill="1" applyBorder="1" applyAlignment="1" applyProtection="1">
      <alignment horizontal="right" vertical="center"/>
      <protection hidden="1"/>
    </xf>
    <xf numFmtId="171" fontId="80" fillId="11" borderId="34" xfId="2" applyNumberFormat="1" applyFont="1" applyFill="1" applyBorder="1" applyAlignment="1" applyProtection="1">
      <alignment horizontal="center" vertical="center"/>
      <protection hidden="1"/>
    </xf>
    <xf numFmtId="171" fontId="80" fillId="2" borderId="1" xfId="2" applyNumberFormat="1" applyFont="1" applyFill="1" applyBorder="1" applyAlignment="1" applyProtection="1">
      <alignment horizontal="center" vertical="center"/>
      <protection hidden="1"/>
    </xf>
    <xf numFmtId="171" fontId="69" fillId="11" borderId="33" xfId="2" applyNumberFormat="1" applyFont="1" applyFill="1" applyBorder="1" applyAlignment="1" applyProtection="1">
      <alignment horizontal="center" vertical="center"/>
      <protection hidden="1"/>
    </xf>
    <xf numFmtId="171" fontId="80" fillId="2" borderId="0" xfId="2" applyNumberFormat="1" applyFont="1" applyFill="1" applyBorder="1" applyAlignment="1" applyProtection="1">
      <alignment horizontal="center" vertical="center"/>
      <protection hidden="1"/>
    </xf>
    <xf numFmtId="171" fontId="80" fillId="11" borderId="33" xfId="2" applyNumberFormat="1" applyFont="1" applyFill="1" applyBorder="1" applyAlignment="1" applyProtection="1">
      <alignment horizontal="center" vertical="center"/>
      <protection hidden="1"/>
    </xf>
    <xf numFmtId="171" fontId="83" fillId="2" borderId="0" xfId="0" applyNumberFormat="1" applyFont="1" applyFill="1" applyAlignment="1" applyProtection="1">
      <alignment horizontal="right" vertical="center"/>
      <protection hidden="1"/>
    </xf>
    <xf numFmtId="171" fontId="69" fillId="11" borderId="34" xfId="2" applyNumberFormat="1" applyFont="1" applyFill="1" applyBorder="1" applyAlignment="1" applyProtection="1">
      <alignment horizontal="center" vertical="center"/>
      <protection hidden="1"/>
    </xf>
    <xf numFmtId="171" fontId="80" fillId="11" borderId="38" xfId="2" applyNumberFormat="1" applyFont="1" applyFill="1" applyBorder="1" applyAlignment="1" applyProtection="1">
      <alignment horizontal="center" vertical="center"/>
      <protection hidden="1"/>
    </xf>
    <xf numFmtId="171" fontId="69" fillId="2" borderId="0" xfId="0" applyNumberFormat="1" applyFont="1" applyFill="1" applyBorder="1" applyAlignment="1" applyProtection="1">
      <alignment horizontal="right" vertical="center"/>
      <protection hidden="1"/>
    </xf>
    <xf numFmtId="171" fontId="69" fillId="2" borderId="0" xfId="0" applyNumberFormat="1" applyFont="1" applyFill="1" applyAlignment="1" applyProtection="1">
      <alignment horizontal="right" vertical="center"/>
      <protection hidden="1"/>
    </xf>
    <xf numFmtId="0" fontId="80" fillId="2" borderId="34" xfId="0" applyFont="1" applyFill="1" applyBorder="1" applyAlignment="1" applyProtection="1">
      <alignment vertical="center"/>
      <protection hidden="1"/>
    </xf>
    <xf numFmtId="0" fontId="80" fillId="2" borderId="34" xfId="0" applyFont="1" applyFill="1" applyBorder="1" applyAlignment="1" applyProtection="1">
      <alignment horizontal="center" vertical="center"/>
      <protection hidden="1"/>
    </xf>
    <xf numFmtId="171" fontId="80" fillId="2" borderId="32" xfId="2" applyNumberFormat="1" applyFont="1" applyFill="1" applyBorder="1" applyAlignment="1" applyProtection="1">
      <alignment horizontal="center" vertical="center"/>
      <protection hidden="1"/>
    </xf>
    <xf numFmtId="171" fontId="80" fillId="2" borderId="37" xfId="2" applyNumberFormat="1" applyFont="1" applyFill="1" applyBorder="1" applyAlignment="1" applyProtection="1">
      <alignment horizontal="center" vertical="center"/>
      <protection hidden="1"/>
    </xf>
    <xf numFmtId="171" fontId="80" fillId="2" borderId="38" xfId="2" applyNumberFormat="1" applyFont="1" applyFill="1" applyBorder="1" applyAlignment="1" applyProtection="1">
      <alignment horizontal="center" vertical="center"/>
      <protection hidden="1"/>
    </xf>
    <xf numFmtId="171" fontId="69" fillId="2" borderId="34" xfId="2" applyNumberFormat="1" applyFont="1" applyFill="1" applyBorder="1" applyAlignment="1" applyProtection="1">
      <alignment horizontal="center" vertical="center"/>
      <protection hidden="1"/>
    </xf>
    <xf numFmtId="171" fontId="80" fillId="2" borderId="0" xfId="2" applyNumberFormat="1" applyFont="1" applyFill="1" applyBorder="1" applyAlignment="1" applyProtection="1">
      <alignment vertical="center"/>
      <protection hidden="1"/>
    </xf>
    <xf numFmtId="0" fontId="80" fillId="11" borderId="40" xfId="0" applyFont="1" applyFill="1" applyBorder="1" applyAlignment="1" applyProtection="1">
      <alignment horizontal="center" vertical="center"/>
      <protection hidden="1"/>
    </xf>
    <xf numFmtId="180" fontId="80" fillId="11" borderId="39" xfId="2" applyNumberFormat="1" applyFont="1" applyFill="1" applyBorder="1" applyAlignment="1" applyProtection="1">
      <alignment horizontal="center" vertical="center"/>
      <protection hidden="1"/>
    </xf>
    <xf numFmtId="171" fontId="80" fillId="2" borderId="0" xfId="0" applyNumberFormat="1" applyFont="1" applyFill="1" applyBorder="1" applyAlignment="1" applyProtection="1">
      <alignment horizontal="center" vertical="center"/>
      <protection hidden="1"/>
    </xf>
    <xf numFmtId="3" fontId="69" fillId="11" borderId="39" xfId="0" applyNumberFormat="1" applyFont="1" applyFill="1" applyBorder="1" applyAlignment="1" applyProtection="1">
      <alignment horizontal="center" vertical="center"/>
      <protection hidden="1"/>
    </xf>
    <xf numFmtId="171" fontId="80" fillId="11" borderId="40" xfId="0" applyNumberFormat="1" applyFont="1" applyFill="1" applyBorder="1" applyAlignment="1" applyProtection="1">
      <alignment horizontal="center" vertical="center"/>
      <protection hidden="1"/>
    </xf>
    <xf numFmtId="171" fontId="69" fillId="11" borderId="40" xfId="0" applyNumberFormat="1" applyFont="1" applyFill="1" applyBorder="1" applyAlignment="1" applyProtection="1">
      <alignment horizontal="center" vertical="center"/>
      <protection hidden="1"/>
    </xf>
    <xf numFmtId="0" fontId="80" fillId="11" borderId="41" xfId="0" applyFont="1" applyFill="1" applyBorder="1" applyAlignment="1" applyProtection="1">
      <alignment horizontal="center" vertical="center"/>
      <protection hidden="1"/>
    </xf>
    <xf numFmtId="180" fontId="80" fillId="25" borderId="40" xfId="2" applyNumberFormat="1" applyFont="1" applyFill="1" applyBorder="1" applyAlignment="1" applyProtection="1">
      <alignment horizontal="center" vertical="center"/>
      <protection locked="0"/>
    </xf>
    <xf numFmtId="3" fontId="80" fillId="25" borderId="40" xfId="0" applyNumberFormat="1" applyFont="1" applyFill="1" applyBorder="1" applyAlignment="1" applyProtection="1">
      <alignment horizontal="center" vertical="center"/>
      <protection locked="0"/>
    </xf>
    <xf numFmtId="3" fontId="69" fillId="11" borderId="40" xfId="0" applyNumberFormat="1" applyFont="1" applyFill="1" applyBorder="1" applyAlignment="1" applyProtection="1">
      <alignment horizontal="center" vertical="center"/>
      <protection hidden="1"/>
    </xf>
    <xf numFmtId="0" fontId="80" fillId="11" borderId="42" xfId="0" applyFont="1" applyFill="1" applyBorder="1" applyAlignment="1" applyProtection="1">
      <alignment horizontal="center" vertical="center"/>
      <protection hidden="1"/>
    </xf>
    <xf numFmtId="3" fontId="80" fillId="11" borderId="42" xfId="0" applyNumberFormat="1" applyFont="1" applyFill="1" applyBorder="1" applyAlignment="1" applyProtection="1">
      <alignment horizontal="center" vertical="center"/>
      <protection hidden="1"/>
    </xf>
    <xf numFmtId="3" fontId="69" fillId="11" borderId="42" xfId="0" applyNumberFormat="1" applyFont="1" applyFill="1" applyBorder="1" applyAlignment="1" applyProtection="1">
      <alignment horizontal="center" vertical="center"/>
      <protection hidden="1"/>
    </xf>
    <xf numFmtId="4" fontId="80" fillId="2" borderId="0" xfId="0" applyNumberFormat="1" applyFont="1" applyFill="1" applyAlignment="1" applyProtection="1">
      <alignment vertical="center"/>
      <protection hidden="1"/>
    </xf>
    <xf numFmtId="4" fontId="80" fillId="2" borderId="0" xfId="0" applyNumberFormat="1" applyFont="1" applyFill="1" applyBorder="1" applyAlignment="1" applyProtection="1">
      <alignment vertical="center"/>
      <protection hidden="1"/>
    </xf>
    <xf numFmtId="0" fontId="69" fillId="2" borderId="0" xfId="0" applyFont="1" applyFill="1" applyAlignment="1" applyProtection="1">
      <alignment horizontal="right" vertical="center"/>
      <protection hidden="1"/>
    </xf>
    <xf numFmtId="0" fontId="69" fillId="2" borderId="0" xfId="0" applyFont="1" applyFill="1" applyBorder="1" applyAlignment="1" applyProtection="1">
      <alignment horizontal="right" vertical="center"/>
      <protection hidden="1"/>
    </xf>
    <xf numFmtId="0" fontId="70" fillId="2" borderId="0" xfId="0" applyFont="1" applyFill="1" applyAlignment="1" applyProtection="1">
      <alignment vertical="center"/>
      <protection hidden="1"/>
    </xf>
    <xf numFmtId="4" fontId="80" fillId="2" borderId="0" xfId="2" applyNumberFormat="1" applyFont="1" applyFill="1" applyBorder="1" applyAlignment="1" applyProtection="1">
      <alignment horizontal="center" vertical="center"/>
      <protection hidden="1"/>
    </xf>
    <xf numFmtId="170" fontId="80" fillId="2" borderId="0" xfId="2" applyNumberFormat="1" applyFont="1" applyFill="1" applyBorder="1" applyAlignment="1" applyProtection="1">
      <alignment horizontal="center" vertical="center"/>
      <protection hidden="1"/>
    </xf>
    <xf numFmtId="0" fontId="80" fillId="11" borderId="39" xfId="0" applyFont="1" applyFill="1" applyBorder="1" applyAlignment="1" applyProtection="1">
      <alignment horizontal="right" vertical="center"/>
      <protection hidden="1"/>
    </xf>
    <xf numFmtId="0" fontId="80" fillId="11" borderId="39" xfId="0" applyFont="1" applyFill="1" applyBorder="1" applyAlignment="1" applyProtection="1">
      <alignment horizontal="center" vertical="center"/>
      <protection hidden="1"/>
    </xf>
    <xf numFmtId="2" fontId="80" fillId="21" borderId="39" xfId="0" applyNumberFormat="1" applyFont="1" applyFill="1" applyBorder="1" applyAlignment="1" applyProtection="1">
      <alignment horizontal="center" vertical="center"/>
      <protection hidden="1"/>
    </xf>
    <xf numFmtId="4" fontId="80" fillId="21" borderId="39" xfId="0" applyNumberFormat="1" applyFont="1" applyFill="1" applyBorder="1" applyAlignment="1" applyProtection="1">
      <alignment horizontal="center" vertical="center"/>
      <protection hidden="1"/>
    </xf>
    <xf numFmtId="4" fontId="88" fillId="12" borderId="43" xfId="2" applyNumberFormat="1" applyFont="1" applyFill="1" applyBorder="1" applyAlignment="1" applyProtection="1">
      <alignment horizontal="center" vertical="center"/>
      <protection locked="0" hidden="1"/>
    </xf>
    <xf numFmtId="4" fontId="80" fillId="11" borderId="59" xfId="2" applyNumberFormat="1" applyFont="1" applyFill="1" applyBorder="1" applyAlignment="1" applyProtection="1">
      <alignment horizontal="center" vertical="center"/>
      <protection hidden="1"/>
    </xf>
    <xf numFmtId="4" fontId="80" fillId="11" borderId="34" xfId="2" applyNumberFormat="1" applyFont="1" applyFill="1" applyBorder="1" applyAlignment="1" applyProtection="1">
      <alignment horizontal="center" vertical="center"/>
      <protection hidden="1"/>
    </xf>
    <xf numFmtId="4" fontId="80" fillId="11" borderId="32" xfId="2" applyNumberFormat="1" applyFont="1" applyFill="1" applyBorder="1" applyAlignment="1" applyProtection="1">
      <alignment horizontal="center" vertical="center"/>
      <protection hidden="1"/>
    </xf>
    <xf numFmtId="170" fontId="69" fillId="11" borderId="34" xfId="2" applyNumberFormat="1" applyFont="1" applyFill="1" applyBorder="1" applyAlignment="1" applyProtection="1">
      <alignment horizontal="center" vertical="center"/>
      <protection hidden="1"/>
    </xf>
    <xf numFmtId="0" fontId="80" fillId="11" borderId="40" xfId="0" applyFont="1" applyFill="1" applyBorder="1" applyAlignment="1" applyProtection="1">
      <alignment horizontal="right" vertical="center"/>
      <protection hidden="1"/>
    </xf>
    <xf numFmtId="0" fontId="80" fillId="11" borderId="10" xfId="0" applyFont="1" applyFill="1" applyBorder="1" applyAlignment="1" applyProtection="1">
      <alignment horizontal="center" vertical="center"/>
      <protection hidden="1"/>
    </xf>
    <xf numFmtId="2" fontId="80" fillId="16" borderId="40" xfId="0" applyNumberFormat="1" applyFont="1" applyFill="1" applyBorder="1" applyAlignment="1" applyProtection="1">
      <alignment horizontal="center" vertical="center"/>
      <protection hidden="1"/>
    </xf>
    <xf numFmtId="4" fontId="80" fillId="16" borderId="40" xfId="0" applyNumberFormat="1" applyFont="1" applyFill="1" applyBorder="1" applyAlignment="1" applyProtection="1">
      <alignment horizontal="center" vertical="center"/>
      <protection hidden="1"/>
    </xf>
    <xf numFmtId="4" fontId="80" fillId="11" borderId="27" xfId="2" applyNumberFormat="1" applyFont="1" applyFill="1" applyBorder="1" applyAlignment="1" applyProtection="1">
      <alignment horizontal="center" vertical="center"/>
      <protection hidden="1"/>
    </xf>
    <xf numFmtId="4" fontId="80" fillId="11" borderId="15" xfId="2" applyNumberFormat="1" applyFont="1" applyFill="1" applyBorder="1" applyAlignment="1" applyProtection="1">
      <alignment horizontal="center" vertical="center"/>
      <protection hidden="1"/>
    </xf>
    <xf numFmtId="4" fontId="80" fillId="11" borderId="28" xfId="2" applyNumberFormat="1" applyFont="1" applyFill="1" applyBorder="1" applyAlignment="1" applyProtection="1">
      <alignment horizontal="center" vertical="center"/>
      <protection hidden="1"/>
    </xf>
    <xf numFmtId="170" fontId="69" fillId="11" borderId="28" xfId="2" applyNumberFormat="1" applyFont="1" applyFill="1" applyBorder="1" applyAlignment="1" applyProtection="1">
      <alignment horizontal="center" vertical="center"/>
      <protection hidden="1"/>
    </xf>
    <xf numFmtId="4" fontId="80" fillId="11" borderId="21" xfId="2" applyNumberFormat="1" applyFont="1" applyFill="1" applyBorder="1" applyAlignment="1" applyProtection="1">
      <alignment horizontal="center" vertical="center"/>
      <protection hidden="1"/>
    </xf>
    <xf numFmtId="4" fontId="80" fillId="11" borderId="12" xfId="2" applyNumberFormat="1" applyFont="1" applyFill="1" applyBorder="1" applyAlignment="1" applyProtection="1">
      <alignment horizontal="center" vertical="center"/>
      <protection hidden="1"/>
    </xf>
    <xf numFmtId="4" fontId="80" fillId="11" borderId="22" xfId="2" applyNumberFormat="1" applyFont="1" applyFill="1" applyBorder="1" applyAlignment="1" applyProtection="1">
      <alignment horizontal="center" vertical="center"/>
      <protection hidden="1"/>
    </xf>
    <xf numFmtId="170" fontId="69" fillId="11" borderId="22" xfId="2" applyNumberFormat="1" applyFont="1" applyFill="1" applyBorder="1" applyAlignment="1" applyProtection="1">
      <alignment horizontal="center" vertical="center"/>
      <protection hidden="1"/>
    </xf>
    <xf numFmtId="0" fontId="80" fillId="11" borderId="42" xfId="0" applyFont="1" applyFill="1" applyBorder="1" applyAlignment="1" applyProtection="1">
      <alignment horizontal="right" vertical="center"/>
      <protection hidden="1"/>
    </xf>
    <xf numFmtId="4" fontId="80" fillId="11" borderId="23" xfId="2" applyNumberFormat="1" applyFont="1" applyFill="1" applyBorder="1" applyAlignment="1" applyProtection="1">
      <alignment horizontal="center" vertical="center"/>
      <protection hidden="1"/>
    </xf>
    <xf numFmtId="4" fontId="80" fillId="11" borderId="17" xfId="2" applyNumberFormat="1" applyFont="1" applyFill="1" applyBorder="1" applyAlignment="1" applyProtection="1">
      <alignment horizontal="center" vertical="center"/>
      <protection hidden="1"/>
    </xf>
    <xf numFmtId="4" fontId="80" fillId="11" borderId="19" xfId="2" applyNumberFormat="1" applyFont="1" applyFill="1" applyBorder="1" applyAlignment="1" applyProtection="1">
      <alignment horizontal="center" vertical="center"/>
      <protection hidden="1"/>
    </xf>
    <xf numFmtId="170" fontId="69" fillId="11" borderId="19" xfId="2" applyNumberFormat="1" applyFont="1" applyFill="1" applyBorder="1" applyAlignment="1" applyProtection="1">
      <alignment horizontal="center" vertical="center"/>
      <protection hidden="1"/>
    </xf>
    <xf numFmtId="0" fontId="69" fillId="11" borderId="34" xfId="0" applyFont="1" applyFill="1" applyBorder="1" applyAlignment="1" applyProtection="1">
      <alignment vertical="center"/>
      <protection hidden="1"/>
    </xf>
    <xf numFmtId="0" fontId="69" fillId="2" borderId="6" xfId="0" applyFont="1" applyFill="1" applyBorder="1" applyAlignment="1" applyProtection="1">
      <alignment horizontal="center" vertical="center"/>
      <protection hidden="1"/>
    </xf>
    <xf numFmtId="4" fontId="69" fillId="11" borderId="11" xfId="2" applyNumberFormat="1" applyFont="1" applyFill="1" applyBorder="1" applyAlignment="1" applyProtection="1">
      <alignment horizontal="center" vertical="center"/>
      <protection hidden="1"/>
    </xf>
    <xf numFmtId="4" fontId="69" fillId="2" borderId="0" xfId="2" applyNumberFormat="1" applyFont="1" applyFill="1" applyBorder="1" applyAlignment="1" applyProtection="1">
      <alignment horizontal="center" vertical="center"/>
      <protection hidden="1"/>
    </xf>
    <xf numFmtId="4" fontId="69" fillId="11" borderId="42" xfId="2" applyNumberFormat="1" applyFont="1" applyFill="1" applyBorder="1" applyAlignment="1" applyProtection="1">
      <alignment horizontal="center" vertical="center"/>
      <protection hidden="1"/>
    </xf>
    <xf numFmtId="4" fontId="69" fillId="2" borderId="6" xfId="2" applyNumberFormat="1" applyFont="1" applyFill="1" applyBorder="1" applyAlignment="1" applyProtection="1">
      <alignment horizontal="center" vertical="center"/>
      <protection hidden="1"/>
    </xf>
    <xf numFmtId="4" fontId="69" fillId="2" borderId="1" xfId="2" applyNumberFormat="1" applyFont="1" applyFill="1" applyBorder="1" applyAlignment="1" applyProtection="1">
      <alignment horizontal="center" vertical="center"/>
      <protection hidden="1"/>
    </xf>
    <xf numFmtId="4" fontId="69" fillId="0" borderId="1" xfId="2" applyNumberFormat="1" applyFont="1" applyFill="1" applyBorder="1" applyAlignment="1" applyProtection="1">
      <alignment horizontal="center" vertical="center"/>
      <protection hidden="1"/>
    </xf>
    <xf numFmtId="170" fontId="69" fillId="11" borderId="11" xfId="2" applyNumberFormat="1" applyFont="1" applyFill="1" applyBorder="1" applyAlignment="1" applyProtection="1">
      <alignment horizontal="center" vertical="center"/>
      <protection hidden="1"/>
    </xf>
    <xf numFmtId="4" fontId="80" fillId="2" borderId="0" xfId="0" applyNumberFormat="1" applyFont="1" applyFill="1" applyAlignment="1" applyProtection="1">
      <alignment horizontal="right" vertical="center"/>
      <protection hidden="1"/>
    </xf>
    <xf numFmtId="4" fontId="80" fillId="2" borderId="0" xfId="0" applyNumberFormat="1" applyFont="1" applyFill="1" applyBorder="1" applyAlignment="1" applyProtection="1">
      <alignment horizontal="right" vertical="center"/>
      <protection hidden="1"/>
    </xf>
    <xf numFmtId="4" fontId="80" fillId="2" borderId="0" xfId="0" applyNumberFormat="1" applyFont="1" applyFill="1" applyAlignment="1" applyProtection="1">
      <alignment horizontal="center" vertical="center"/>
      <protection hidden="1"/>
    </xf>
    <xf numFmtId="0" fontId="70" fillId="2" borderId="0" xfId="0" applyFont="1" applyFill="1" applyBorder="1" applyAlignment="1" applyProtection="1">
      <alignment vertical="center"/>
      <protection hidden="1"/>
    </xf>
    <xf numFmtId="4" fontId="80" fillId="2" borderId="0" xfId="2" applyNumberFormat="1" applyFont="1" applyFill="1" applyBorder="1" applyAlignment="1" applyProtection="1">
      <alignment vertical="center"/>
      <protection hidden="1"/>
    </xf>
    <xf numFmtId="0" fontId="80" fillId="21" borderId="39" xfId="0" applyFont="1" applyFill="1" applyBorder="1" applyAlignment="1" applyProtection="1">
      <alignment horizontal="center" vertical="center"/>
      <protection hidden="1"/>
    </xf>
    <xf numFmtId="0" fontId="80" fillId="16" borderId="40" xfId="0" applyFont="1" applyFill="1" applyBorder="1" applyAlignment="1" applyProtection="1">
      <alignment horizontal="center" vertical="center"/>
      <protection hidden="1"/>
    </xf>
    <xf numFmtId="0" fontId="69" fillId="11" borderId="60" xfId="0" applyFont="1" applyFill="1" applyBorder="1" applyAlignment="1" applyProtection="1">
      <alignment vertical="center"/>
      <protection hidden="1"/>
    </xf>
    <xf numFmtId="4" fontId="80" fillId="11" borderId="39" xfId="2" applyNumberFormat="1" applyFont="1" applyFill="1" applyBorder="1" applyAlignment="1" applyProtection="1">
      <alignment horizontal="center" vertical="center"/>
      <protection hidden="1"/>
    </xf>
    <xf numFmtId="4" fontId="80" fillId="11" borderId="40" xfId="2" applyNumberFormat="1" applyFont="1" applyFill="1" applyBorder="1" applyAlignment="1" applyProtection="1">
      <alignment horizontal="center" vertical="center"/>
      <protection hidden="1"/>
    </xf>
    <xf numFmtId="4" fontId="80" fillId="11" borderId="61" xfId="2" applyNumberFormat="1" applyFont="1" applyFill="1" applyBorder="1" applyAlignment="1" applyProtection="1">
      <alignment horizontal="center" vertical="center"/>
      <protection hidden="1"/>
    </xf>
    <xf numFmtId="4" fontId="80" fillId="11" borderId="13" xfId="2" applyNumberFormat="1" applyFont="1" applyFill="1" applyBorder="1" applyAlignment="1" applyProtection="1">
      <alignment horizontal="center" vertical="center"/>
      <protection hidden="1"/>
    </xf>
    <xf numFmtId="4" fontId="80" fillId="11" borderId="42" xfId="2" applyNumberFormat="1" applyFont="1" applyFill="1" applyBorder="1" applyAlignment="1" applyProtection="1">
      <alignment horizontal="center" vertical="center"/>
      <protection hidden="1"/>
    </xf>
    <xf numFmtId="4" fontId="80" fillId="11" borderId="51" xfId="2" applyNumberFormat="1" applyFont="1" applyFill="1" applyBorder="1" applyAlignment="1" applyProtection="1">
      <alignment horizontal="center" vertical="center"/>
      <protection hidden="1"/>
    </xf>
    <xf numFmtId="4" fontId="69" fillId="11" borderId="34" xfId="2" applyNumberFormat="1" applyFont="1" applyFill="1" applyBorder="1" applyAlignment="1" applyProtection="1">
      <alignment horizontal="center" vertical="center"/>
      <protection hidden="1"/>
    </xf>
    <xf numFmtId="4" fontId="69" fillId="11" borderId="7" xfId="2" applyNumberFormat="1" applyFont="1" applyFill="1" applyBorder="1" applyAlignment="1" applyProtection="1">
      <alignment horizontal="center" vertical="center"/>
      <protection hidden="1"/>
    </xf>
    <xf numFmtId="4" fontId="69" fillId="2" borderId="0" xfId="0" applyNumberFormat="1" applyFont="1" applyFill="1" applyAlignment="1" applyProtection="1">
      <alignment horizontal="center" vertical="center"/>
      <protection hidden="1"/>
    </xf>
    <xf numFmtId="4" fontId="70" fillId="2" borderId="0" xfId="0" applyNumberFormat="1" applyFont="1" applyFill="1" applyAlignment="1" applyProtection="1">
      <alignment vertical="center"/>
      <protection hidden="1"/>
    </xf>
    <xf numFmtId="9" fontId="82" fillId="2" borderId="0" xfId="7" applyFont="1" applyFill="1" applyAlignment="1" applyProtection="1">
      <alignment horizontal="center" vertical="center"/>
      <protection hidden="1"/>
    </xf>
    <xf numFmtId="0" fontId="70" fillId="2" borderId="0" xfId="0" applyFont="1" applyFill="1" applyAlignment="1" applyProtection="1">
      <alignment horizontal="right" vertical="center"/>
      <protection locked="0" hidden="1"/>
    </xf>
    <xf numFmtId="0" fontId="70" fillId="2" borderId="0" xfId="0" applyFont="1" applyFill="1" applyBorder="1" applyAlignment="1" applyProtection="1">
      <alignment horizontal="left" vertical="center"/>
      <protection locked="0" hidden="1"/>
    </xf>
    <xf numFmtId="0" fontId="70" fillId="2" borderId="0" xfId="0" applyFont="1" applyFill="1" applyAlignment="1" applyProtection="1">
      <alignment horizontal="center" vertical="center"/>
      <protection locked="0" hidden="1"/>
    </xf>
    <xf numFmtId="0" fontId="82" fillId="2" borderId="0" xfId="0" applyFont="1" applyFill="1" applyAlignment="1" applyProtection="1">
      <alignment horizontal="right" vertical="center"/>
      <protection locked="0" hidden="1"/>
    </xf>
    <xf numFmtId="0" fontId="82" fillId="2" borderId="0" xfId="0" applyFont="1" applyFill="1" applyBorder="1" applyAlignment="1" applyProtection="1">
      <alignment horizontal="left" vertical="center"/>
      <protection locked="0" hidden="1"/>
    </xf>
    <xf numFmtId="0" fontId="82" fillId="2" borderId="0" xfId="0" applyFont="1" applyFill="1" applyAlignment="1" applyProtection="1">
      <alignment horizontal="center" vertical="center"/>
      <protection locked="0" hidden="1"/>
    </xf>
    <xf numFmtId="3" fontId="70" fillId="2" borderId="0" xfId="2" applyNumberFormat="1" applyFont="1" applyFill="1" applyBorder="1" applyAlignment="1" applyProtection="1">
      <alignment horizontal="left" vertical="center"/>
      <protection locked="0" hidden="1"/>
    </xf>
    <xf numFmtId="3" fontId="70" fillId="2" borderId="0" xfId="2" applyNumberFormat="1" applyFont="1" applyFill="1" applyBorder="1" applyAlignment="1" applyProtection="1">
      <alignment horizontal="center" vertical="center"/>
      <protection locked="0" hidden="1"/>
    </xf>
    <xf numFmtId="3" fontId="82" fillId="2" borderId="0" xfId="2" applyNumberFormat="1" applyFont="1" applyFill="1" applyBorder="1" applyAlignment="1" applyProtection="1">
      <alignment horizontal="left" vertical="center"/>
      <protection locked="0" hidden="1"/>
    </xf>
    <xf numFmtId="3" fontId="82" fillId="2" borderId="0" xfId="2" applyNumberFormat="1" applyFont="1" applyFill="1" applyBorder="1" applyAlignment="1" applyProtection="1">
      <alignment horizontal="center" vertical="center"/>
      <protection locked="0" hidden="1"/>
    </xf>
    <xf numFmtId="0" fontId="70" fillId="2" borderId="0" xfId="0" applyFont="1" applyFill="1" applyAlignment="1" applyProtection="1">
      <alignment vertical="center"/>
      <protection locked="0" hidden="1"/>
    </xf>
    <xf numFmtId="0" fontId="80" fillId="2" borderId="0" xfId="0" applyFont="1" applyFill="1" applyBorder="1" applyAlignment="1" applyProtection="1">
      <alignment horizontal="center" vertical="center"/>
      <protection locked="0" hidden="1"/>
    </xf>
    <xf numFmtId="0" fontId="80" fillId="2" borderId="0" xfId="0" applyFont="1" applyFill="1" applyAlignment="1" applyProtection="1">
      <alignment horizontal="center" vertical="center"/>
      <protection locked="0" hidden="1"/>
    </xf>
    <xf numFmtId="0" fontId="70" fillId="2" borderId="0" xfId="0" applyFont="1" applyFill="1" applyBorder="1" applyAlignment="1" applyProtection="1">
      <alignment horizontal="center" vertical="center"/>
      <protection locked="0" hidden="1"/>
    </xf>
    <xf numFmtId="0" fontId="69" fillId="2" borderId="0" xfId="0" applyFont="1" applyFill="1" applyAlignment="1" applyProtection="1">
      <alignment horizontal="center" vertical="center"/>
      <protection hidden="1"/>
    </xf>
    <xf numFmtId="0" fontId="89" fillId="2" borderId="0" xfId="0" applyFont="1" applyFill="1" applyAlignment="1" applyProtection="1">
      <alignment horizontal="center" vertical="center"/>
      <protection locked="0" hidden="1"/>
    </xf>
    <xf numFmtId="0" fontId="80" fillId="2" borderId="0" xfId="0" applyFont="1" applyFill="1" applyBorder="1" applyAlignment="1" applyProtection="1">
      <alignment vertical="center"/>
      <protection locked="0" hidden="1"/>
    </xf>
    <xf numFmtId="0" fontId="80" fillId="2" borderId="0" xfId="0" applyFont="1" applyFill="1" applyAlignment="1" applyProtection="1">
      <alignment vertical="center"/>
      <protection locked="0" hidden="1"/>
    </xf>
    <xf numFmtId="0" fontId="80" fillId="11" borderId="18" xfId="0" applyFont="1" applyFill="1" applyBorder="1" applyAlignment="1" applyProtection="1">
      <alignment vertical="center"/>
      <protection locked="0" hidden="1"/>
    </xf>
    <xf numFmtId="0" fontId="80" fillId="2" borderId="4" xfId="0" applyFont="1" applyFill="1" applyBorder="1" applyAlignment="1" applyProtection="1">
      <alignment horizontal="center" vertical="center"/>
      <protection locked="0" hidden="1"/>
    </xf>
    <xf numFmtId="0" fontId="71" fillId="11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70" fillId="2" borderId="4" xfId="0" applyFont="1" applyFill="1" applyBorder="1" applyAlignment="1" applyProtection="1">
      <alignment vertical="center"/>
      <protection locked="0" hidden="1"/>
    </xf>
    <xf numFmtId="0" fontId="80" fillId="11" borderId="16" xfId="0" applyFont="1" applyFill="1" applyBorder="1" applyAlignment="1" applyProtection="1">
      <alignment vertical="center"/>
      <protection locked="0" hidden="1"/>
    </xf>
    <xf numFmtId="0" fontId="70" fillId="2" borderId="5" xfId="0" applyFont="1" applyFill="1" applyBorder="1" applyAlignment="1" applyProtection="1">
      <alignment vertical="center"/>
      <protection locked="0" hidden="1"/>
    </xf>
    <xf numFmtId="0" fontId="80" fillId="2" borderId="6" xfId="0" applyFont="1" applyFill="1" applyBorder="1" applyAlignment="1" applyProtection="1">
      <alignment vertical="center"/>
      <protection locked="0" hidden="1"/>
    </xf>
    <xf numFmtId="0" fontId="70" fillId="2" borderId="0" xfId="0" applyFont="1" applyFill="1" applyBorder="1" applyAlignment="1" applyProtection="1">
      <alignment vertical="center"/>
      <protection locked="0" hidden="1"/>
    </xf>
    <xf numFmtId="0" fontId="70" fillId="2" borderId="1" xfId="0" applyFont="1" applyFill="1" applyBorder="1" applyAlignment="1" applyProtection="1">
      <alignment vertical="center"/>
      <protection locked="0" hidden="1"/>
    </xf>
    <xf numFmtId="0" fontId="80" fillId="11" borderId="21" xfId="0" applyFont="1" applyFill="1" applyBorder="1" applyAlignment="1" applyProtection="1">
      <alignment vertical="center"/>
      <protection locked="0" hidden="1"/>
    </xf>
    <xf numFmtId="0" fontId="80" fillId="11" borderId="12" xfId="0" applyFont="1" applyFill="1" applyBorder="1" applyAlignment="1" applyProtection="1">
      <alignment horizontal="center" vertical="center"/>
      <protection locked="0" hidden="1"/>
    </xf>
    <xf numFmtId="41" fontId="90" fillId="21" borderId="12" xfId="2" applyNumberFormat="1" applyFont="1" applyFill="1" applyBorder="1" applyAlignment="1" applyProtection="1">
      <alignment horizontal="center" vertical="center" wrapText="1"/>
      <protection locked="0" hidden="1"/>
    </xf>
    <xf numFmtId="0" fontId="80" fillId="11" borderId="12" xfId="0" applyFont="1" applyFill="1" applyBorder="1" applyAlignment="1" applyProtection="1">
      <alignment vertical="center"/>
      <protection locked="0" hidden="1"/>
    </xf>
    <xf numFmtId="0" fontId="80" fillId="22" borderId="6" xfId="0" applyFont="1" applyFill="1" applyBorder="1" applyAlignment="1" applyProtection="1">
      <alignment vertical="center"/>
      <protection locked="0" hidden="1"/>
    </xf>
    <xf numFmtId="0" fontId="80" fillId="22" borderId="0" xfId="0" applyFont="1" applyFill="1" applyBorder="1" applyAlignment="1" applyProtection="1">
      <alignment horizontal="center" vertical="center"/>
      <protection locked="0" hidden="1"/>
    </xf>
    <xf numFmtId="0" fontId="91" fillId="22" borderId="49" xfId="2" applyNumberFormat="1" applyFont="1" applyFill="1" applyBorder="1" applyAlignment="1" applyProtection="1">
      <alignment horizontal="left" vertical="center" wrapText="1"/>
      <protection locked="0" hidden="1"/>
    </xf>
    <xf numFmtId="0" fontId="70" fillId="22" borderId="0" xfId="0" applyFont="1" applyFill="1" applyBorder="1" applyAlignment="1" applyProtection="1">
      <alignment vertical="center"/>
      <protection locked="0" hidden="1"/>
    </xf>
    <xf numFmtId="0" fontId="80" fillId="22" borderId="0" xfId="0" applyFont="1" applyFill="1" applyBorder="1" applyAlignment="1" applyProtection="1">
      <alignment vertical="center"/>
      <protection locked="0" hidden="1"/>
    </xf>
    <xf numFmtId="0" fontId="70" fillId="22" borderId="1" xfId="0" applyFont="1" applyFill="1" applyBorder="1" applyAlignment="1" applyProtection="1">
      <alignment vertical="center"/>
      <protection locked="0" hidden="1"/>
    </xf>
    <xf numFmtId="170" fontId="92" fillId="22" borderId="0" xfId="2" applyNumberFormat="1" applyFont="1" applyFill="1" applyBorder="1" applyAlignment="1" applyProtection="1">
      <alignment horizontal="center" vertical="center"/>
      <protection locked="0" hidden="1"/>
    </xf>
    <xf numFmtId="0" fontId="80" fillId="11" borderId="23" xfId="0" applyFont="1" applyFill="1" applyBorder="1" applyAlignment="1" applyProtection="1">
      <alignment vertical="center"/>
      <protection locked="0" hidden="1"/>
    </xf>
    <xf numFmtId="0" fontId="80" fillId="11" borderId="17" xfId="0" applyFont="1" applyFill="1" applyBorder="1" applyAlignment="1" applyProtection="1">
      <alignment horizontal="center" vertical="center"/>
      <protection locked="0" hidden="1"/>
    </xf>
    <xf numFmtId="41" fontId="90" fillId="21" borderId="17" xfId="2" applyNumberFormat="1" applyFont="1" applyFill="1" applyBorder="1" applyAlignment="1" applyProtection="1">
      <alignment horizontal="center" vertical="center" wrapText="1"/>
      <protection locked="0" hidden="1"/>
    </xf>
    <xf numFmtId="0" fontId="70" fillId="22" borderId="2" xfId="0" applyFont="1" applyFill="1" applyBorder="1" applyAlignment="1" applyProtection="1">
      <alignment vertical="center"/>
      <protection locked="0" hidden="1"/>
    </xf>
    <xf numFmtId="0" fontId="80" fillId="11" borderId="17" xfId="0" applyFont="1" applyFill="1" applyBorder="1" applyAlignment="1" applyProtection="1">
      <alignment vertical="center"/>
      <protection locked="0" hidden="1"/>
    </xf>
    <xf numFmtId="0" fontId="70" fillId="22" borderId="7" xfId="0" applyFont="1" applyFill="1" applyBorder="1" applyAlignment="1" applyProtection="1">
      <alignment vertical="center"/>
      <protection locked="0" hidden="1"/>
    </xf>
    <xf numFmtId="41" fontId="90" fillId="22" borderId="0" xfId="2" applyNumberFormat="1" applyFont="1" applyFill="1" applyBorder="1" applyAlignment="1" applyProtection="1">
      <alignment horizontal="center" vertical="center" wrapText="1"/>
      <protection locked="0" hidden="1"/>
    </xf>
    <xf numFmtId="0" fontId="93" fillId="22" borderId="0" xfId="0" applyFont="1" applyFill="1" applyBorder="1" applyAlignment="1" applyProtection="1">
      <alignment vertical="center"/>
      <protection locked="0" hidden="1"/>
    </xf>
    <xf numFmtId="0" fontId="70" fillId="22" borderId="0" xfId="0" applyFont="1" applyFill="1" applyAlignment="1" applyProtection="1">
      <alignment vertical="center"/>
      <protection locked="0" hidden="1"/>
    </xf>
    <xf numFmtId="0" fontId="70" fillId="22" borderId="4" xfId="0" applyFont="1" applyFill="1" applyBorder="1" applyAlignment="1" applyProtection="1">
      <alignment vertical="center"/>
      <protection locked="0" hidden="1"/>
    </xf>
    <xf numFmtId="0" fontId="70" fillId="22" borderId="5" xfId="0" applyFont="1" applyFill="1" applyBorder="1" applyAlignment="1" applyProtection="1">
      <alignment vertical="center"/>
      <protection locked="0" hidden="1"/>
    </xf>
    <xf numFmtId="0" fontId="71" fillId="11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71" fillId="22" borderId="0" xfId="0" applyNumberFormat="1" applyFont="1" applyFill="1" applyBorder="1" applyAlignment="1" applyProtection="1">
      <alignment horizontal="center" vertical="center" wrapText="1"/>
      <protection locked="0" hidden="1"/>
    </xf>
    <xf numFmtId="3" fontId="90" fillId="21" borderId="12" xfId="7" applyNumberFormat="1" applyFont="1" applyFill="1" applyBorder="1" applyAlignment="1" applyProtection="1">
      <alignment horizontal="center" vertical="center" wrapText="1"/>
      <protection locked="0" hidden="1"/>
    </xf>
    <xf numFmtId="3" fontId="90" fillId="21" borderId="22" xfId="7" applyNumberFormat="1" applyFont="1" applyFill="1" applyBorder="1" applyAlignment="1" applyProtection="1">
      <alignment horizontal="center" vertical="center" wrapText="1"/>
      <protection locked="0" hidden="1"/>
    </xf>
    <xf numFmtId="44" fontId="90" fillId="21" borderId="12" xfId="9" applyFont="1" applyFill="1" applyBorder="1" applyAlignment="1" applyProtection="1">
      <alignment horizontal="center" vertical="center" wrapText="1"/>
      <protection locked="0" hidden="1"/>
    </xf>
    <xf numFmtId="42" fontId="90" fillId="21" borderId="12" xfId="2" applyNumberFormat="1" applyFont="1" applyFill="1" applyBorder="1" applyAlignment="1" applyProtection="1">
      <alignment horizontal="center" vertical="center" wrapText="1"/>
      <protection locked="0" hidden="1"/>
    </xf>
    <xf numFmtId="42" fontId="90" fillId="21" borderId="17" xfId="2" applyNumberFormat="1" applyFont="1" applyFill="1" applyBorder="1" applyAlignment="1" applyProtection="1">
      <alignment horizontal="center" vertical="center" wrapText="1"/>
      <protection locked="0" hidden="1"/>
    </xf>
    <xf numFmtId="0" fontId="94" fillId="22" borderId="0" xfId="0" applyFont="1" applyFill="1" applyBorder="1" applyAlignment="1" applyProtection="1">
      <alignment vertical="center"/>
      <protection locked="0" hidden="1"/>
    </xf>
    <xf numFmtId="9" fontId="90" fillId="21" borderId="12" xfId="7" applyNumberFormat="1" applyFont="1" applyFill="1" applyBorder="1" applyAlignment="1" applyProtection="1">
      <alignment horizontal="center" vertical="center" wrapText="1"/>
      <protection locked="0" hidden="1"/>
    </xf>
    <xf numFmtId="0" fontId="70" fillId="2" borderId="0" xfId="0" applyFont="1" applyFill="1" applyAlignment="1" applyProtection="1">
      <alignment horizontal="center" vertical="center"/>
      <protection hidden="1"/>
    </xf>
    <xf numFmtId="0" fontId="69" fillId="11" borderId="12" xfId="0" applyFont="1" applyFill="1" applyBorder="1" applyAlignment="1" applyProtection="1">
      <alignment horizontal="center" vertical="center"/>
      <protection hidden="1"/>
    </xf>
    <xf numFmtId="0" fontId="69" fillId="2" borderId="29" xfId="0" applyFont="1" applyFill="1" applyBorder="1" applyAlignment="1" applyProtection="1">
      <alignment horizontal="center" vertical="center"/>
      <protection hidden="1"/>
    </xf>
    <xf numFmtId="0" fontId="80" fillId="11" borderId="12" xfId="0" applyFont="1" applyFill="1" applyBorder="1" applyAlignment="1" applyProtection="1">
      <alignment horizontal="center" vertical="center"/>
      <protection hidden="1"/>
    </xf>
    <xf numFmtId="0" fontId="71" fillId="11" borderId="12" xfId="0" applyFont="1" applyFill="1" applyBorder="1" applyAlignment="1" applyProtection="1">
      <alignment horizontal="center" vertical="center"/>
      <protection hidden="1"/>
    </xf>
    <xf numFmtId="3" fontId="71" fillId="11" borderId="12" xfId="0" applyNumberFormat="1" applyFont="1" applyFill="1" applyBorder="1" applyAlignment="1" applyProtection="1">
      <alignment horizontal="center" vertical="center"/>
      <protection hidden="1"/>
    </xf>
    <xf numFmtId="0" fontId="71" fillId="11" borderId="12" xfId="0" applyNumberFormat="1" applyFont="1" applyFill="1" applyBorder="1" applyAlignment="1" applyProtection="1">
      <alignment horizontal="center" vertical="center"/>
      <protection hidden="1"/>
    </xf>
    <xf numFmtId="170" fontId="92" fillId="12" borderId="12" xfId="2" applyNumberFormat="1" applyFont="1" applyFill="1" applyBorder="1" applyAlignment="1" applyProtection="1">
      <alignment horizontal="center" vertical="center"/>
      <protection locked="0" hidden="1"/>
    </xf>
    <xf numFmtId="43" fontId="80" fillId="2" borderId="0" xfId="2" applyNumberFormat="1" applyFont="1" applyFill="1" applyAlignment="1" applyProtection="1">
      <alignment horizontal="center" vertical="center"/>
      <protection hidden="1"/>
    </xf>
    <xf numFmtId="9" fontId="81" fillId="12" borderId="12" xfId="7" applyFont="1" applyFill="1" applyBorder="1" applyAlignment="1" applyProtection="1">
      <alignment horizontal="center" vertical="center"/>
      <protection locked="0" hidden="1"/>
    </xf>
    <xf numFmtId="9" fontId="70" fillId="2" borderId="0" xfId="7" applyFont="1" applyFill="1" applyAlignment="1" applyProtection="1">
      <alignment horizontal="center" vertical="center"/>
      <protection hidden="1"/>
    </xf>
    <xf numFmtId="43" fontId="70" fillId="2" borderId="0" xfId="0" applyNumberFormat="1" applyFont="1" applyFill="1" applyAlignment="1" applyProtection="1">
      <alignment horizontal="center" vertical="center"/>
      <protection hidden="1"/>
    </xf>
    <xf numFmtId="170" fontId="90" fillId="11" borderId="12" xfId="0" applyNumberFormat="1" applyFont="1" applyFill="1" applyBorder="1" applyAlignment="1" applyProtection="1">
      <alignment horizontal="center" vertical="center"/>
      <protection hidden="1"/>
    </xf>
    <xf numFmtId="0" fontId="90" fillId="2" borderId="0" xfId="0" applyFont="1" applyFill="1" applyAlignment="1" applyProtection="1">
      <alignment horizontal="center" vertical="center"/>
      <protection hidden="1"/>
    </xf>
    <xf numFmtId="0" fontId="95" fillId="2" borderId="0" xfId="0" applyFont="1" applyFill="1" applyAlignment="1" applyProtection="1">
      <alignment horizontal="center" vertical="center"/>
      <protection hidden="1"/>
    </xf>
    <xf numFmtId="3" fontId="80" fillId="11" borderId="12" xfId="2" applyNumberFormat="1" applyFont="1" applyFill="1" applyBorder="1" applyAlignment="1" applyProtection="1">
      <alignment horizontal="center" vertical="center"/>
      <protection hidden="1"/>
    </xf>
    <xf numFmtId="3" fontId="80" fillId="2" borderId="29" xfId="2" applyNumberFormat="1" applyFont="1" applyFill="1" applyBorder="1" applyAlignment="1" applyProtection="1">
      <alignment horizontal="center" vertical="center"/>
      <protection hidden="1"/>
    </xf>
    <xf numFmtId="3" fontId="95" fillId="2" borderId="0" xfId="2" applyNumberFormat="1" applyFont="1" applyFill="1" applyBorder="1" applyAlignment="1" applyProtection="1">
      <alignment horizontal="center" vertical="center"/>
      <protection hidden="1"/>
    </xf>
    <xf numFmtId="43" fontId="80" fillId="2" borderId="0" xfId="2" applyFont="1" applyFill="1" applyBorder="1" applyAlignment="1" applyProtection="1">
      <alignment horizontal="center" vertical="center"/>
      <protection hidden="1"/>
    </xf>
    <xf numFmtId="43" fontId="70" fillId="2" borderId="0" xfId="2" applyFont="1" applyFill="1" applyAlignment="1" applyProtection="1">
      <alignment horizontal="center" vertical="center"/>
      <protection hidden="1"/>
    </xf>
    <xf numFmtId="43" fontId="80" fillId="2" borderId="0" xfId="2" applyFont="1" applyFill="1" applyAlignment="1" applyProtection="1">
      <alignment horizontal="center" vertical="center"/>
      <protection hidden="1"/>
    </xf>
    <xf numFmtId="0" fontId="81" fillId="2" borderId="0" xfId="0" applyFont="1" applyFill="1" applyAlignment="1" applyProtection="1">
      <alignment vertical="center"/>
      <protection hidden="1"/>
    </xf>
    <xf numFmtId="0" fontId="88" fillId="2" borderId="0" xfId="0" applyFont="1" applyFill="1" applyAlignment="1" applyProtection="1">
      <alignment horizontal="center" vertical="center"/>
      <protection hidden="1"/>
    </xf>
    <xf numFmtId="0" fontId="70" fillId="11" borderId="43" xfId="0" applyFont="1" applyFill="1" applyBorder="1" applyAlignment="1" applyProtection="1">
      <alignment horizontal="center" vertical="center"/>
      <protection hidden="1"/>
    </xf>
    <xf numFmtId="0" fontId="70" fillId="11" borderId="59" xfId="0" applyFont="1" applyFill="1" applyBorder="1" applyAlignment="1" applyProtection="1">
      <alignment horizontal="center" vertical="center"/>
      <protection hidden="1"/>
    </xf>
    <xf numFmtId="0" fontId="69" fillId="11" borderId="38" xfId="0" applyFont="1" applyFill="1" applyBorder="1" applyAlignment="1" applyProtection="1">
      <alignment horizontal="center" vertical="center"/>
      <protection hidden="1"/>
    </xf>
    <xf numFmtId="0" fontId="81" fillId="2" borderId="0" xfId="0" applyFont="1" applyFill="1" applyAlignment="1" applyProtection="1">
      <alignment horizontal="center" vertical="center"/>
      <protection hidden="1"/>
    </xf>
    <xf numFmtId="0" fontId="70" fillId="11" borderId="32" xfId="0" applyFont="1" applyFill="1" applyBorder="1" applyAlignment="1" applyProtection="1">
      <alignment horizontal="center" vertical="center"/>
      <protection hidden="1"/>
    </xf>
    <xf numFmtId="0" fontId="69" fillId="11" borderId="33" xfId="0" applyFont="1" applyFill="1" applyBorder="1" applyAlignment="1" applyProtection="1">
      <alignment horizontal="center" vertical="center"/>
      <protection hidden="1"/>
    </xf>
    <xf numFmtId="0" fontId="80" fillId="2" borderId="0" xfId="0" applyFont="1" applyFill="1" applyAlignment="1" applyProtection="1">
      <alignment horizontal="right" vertical="center"/>
      <protection hidden="1"/>
    </xf>
    <xf numFmtId="3" fontId="69" fillId="11" borderId="43" xfId="0" applyNumberFormat="1" applyFont="1" applyFill="1" applyBorder="1" applyAlignment="1" applyProtection="1">
      <alignment horizontal="center" vertical="center"/>
      <protection hidden="1"/>
    </xf>
    <xf numFmtId="3" fontId="69" fillId="11" borderId="37" xfId="0" applyNumberFormat="1" applyFont="1" applyFill="1" applyBorder="1" applyAlignment="1" applyProtection="1">
      <alignment horizontal="center" vertical="center"/>
      <protection hidden="1"/>
    </xf>
    <xf numFmtId="3" fontId="69" fillId="11" borderId="38" xfId="0" applyNumberFormat="1" applyFont="1" applyFill="1" applyBorder="1" applyAlignment="1" applyProtection="1">
      <alignment horizontal="center" vertical="center"/>
      <protection hidden="1"/>
    </xf>
    <xf numFmtId="44" fontId="96" fillId="2" borderId="0" xfId="9" applyFont="1" applyFill="1" applyAlignment="1" applyProtection="1">
      <alignment vertical="center"/>
      <protection hidden="1"/>
    </xf>
    <xf numFmtId="182" fontId="69" fillId="11" borderId="32" xfId="1" applyNumberFormat="1" applyFont="1" applyFill="1" applyBorder="1" applyAlignment="1" applyProtection="1">
      <alignment horizontal="center" vertical="center"/>
      <protection hidden="1"/>
    </xf>
    <xf numFmtId="182" fontId="69" fillId="11" borderId="37" xfId="1" applyNumberFormat="1" applyFont="1" applyFill="1" applyBorder="1" applyAlignment="1" applyProtection="1">
      <alignment horizontal="center" vertical="center"/>
      <protection hidden="1"/>
    </xf>
    <xf numFmtId="182" fontId="69" fillId="11" borderId="36" xfId="1" applyNumberFormat="1" applyFont="1" applyFill="1" applyBorder="1" applyAlignment="1" applyProtection="1">
      <alignment horizontal="center" vertical="center"/>
      <protection hidden="1"/>
    </xf>
    <xf numFmtId="182" fontId="69" fillId="11" borderId="33" xfId="1" applyNumberFormat="1" applyFont="1" applyFill="1" applyBorder="1" applyAlignment="1" applyProtection="1">
      <alignment horizontal="center" vertical="center"/>
      <protection hidden="1"/>
    </xf>
    <xf numFmtId="182" fontId="69" fillId="11" borderId="35" xfId="1" applyNumberFormat="1" applyFont="1" applyFill="1" applyBorder="1" applyAlignment="1" applyProtection="1">
      <alignment horizontal="center" vertical="center"/>
      <protection hidden="1"/>
    </xf>
    <xf numFmtId="182" fontId="69" fillId="11" borderId="38" xfId="1" applyNumberFormat="1" applyFont="1" applyFill="1" applyBorder="1" applyAlignment="1" applyProtection="1">
      <alignment horizontal="center" vertical="center"/>
      <protection hidden="1"/>
    </xf>
    <xf numFmtId="182" fontId="69" fillId="11" borderId="59" xfId="1" applyNumberFormat="1" applyFont="1" applyFill="1" applyBorder="1" applyAlignment="1" applyProtection="1">
      <alignment horizontal="center" vertical="center"/>
      <protection hidden="1"/>
    </xf>
    <xf numFmtId="0" fontId="80" fillId="2" borderId="10" xfId="0" applyFont="1" applyFill="1" applyBorder="1" applyAlignment="1" applyProtection="1">
      <alignment vertical="center"/>
      <protection hidden="1"/>
    </xf>
    <xf numFmtId="164" fontId="69" fillId="11" borderId="43" xfId="1" applyFont="1" applyFill="1" applyBorder="1" applyAlignment="1" applyProtection="1">
      <alignment horizontal="center" vertical="center"/>
      <protection hidden="1"/>
    </xf>
    <xf numFmtId="164" fontId="69" fillId="11" borderId="36" xfId="1" applyFont="1" applyFill="1" applyBorder="1" applyAlignment="1" applyProtection="1">
      <alignment horizontal="center" vertical="center"/>
      <protection hidden="1"/>
    </xf>
    <xf numFmtId="164" fontId="88" fillId="12" borderId="32" xfId="1" applyFont="1" applyFill="1" applyBorder="1" applyAlignment="1" applyProtection="1">
      <alignment horizontal="right" vertical="center"/>
      <protection locked="0" hidden="1"/>
    </xf>
    <xf numFmtId="164" fontId="88" fillId="12" borderId="37" xfId="1" applyFont="1" applyFill="1" applyBorder="1" applyAlignment="1" applyProtection="1">
      <alignment horizontal="right" vertical="center"/>
      <protection locked="0" hidden="1"/>
    </xf>
    <xf numFmtId="164" fontId="88" fillId="12" borderId="37" xfId="1" applyFont="1" applyFill="1" applyBorder="1" applyAlignment="1" applyProtection="1">
      <alignment vertical="center"/>
      <protection locked="0" hidden="1"/>
    </xf>
    <xf numFmtId="182" fontId="69" fillId="11" borderId="33" xfId="1" applyNumberFormat="1" applyFont="1" applyFill="1" applyBorder="1" applyAlignment="1" applyProtection="1">
      <alignment vertical="center"/>
      <protection hidden="1"/>
    </xf>
    <xf numFmtId="0" fontId="80" fillId="11" borderId="39" xfId="0" applyFont="1" applyFill="1" applyBorder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1" fontId="80" fillId="11" borderId="39" xfId="0" applyNumberFormat="1" applyFont="1" applyFill="1" applyBorder="1" applyAlignment="1" applyProtection="1">
      <alignment horizontal="center" vertical="center"/>
      <protection hidden="1"/>
    </xf>
    <xf numFmtId="164" fontId="80" fillId="2" borderId="0" xfId="1" applyFont="1" applyFill="1" applyBorder="1" applyAlignment="1" applyProtection="1">
      <alignment vertical="center"/>
      <protection hidden="1"/>
    </xf>
    <xf numFmtId="0" fontId="70" fillId="0" borderId="4" xfId="0" applyFont="1" applyBorder="1" applyAlignment="1">
      <alignment horizontal="center" vertical="center"/>
    </xf>
    <xf numFmtId="0" fontId="70" fillId="0" borderId="5" xfId="0" applyFont="1" applyBorder="1" applyAlignment="1">
      <alignment horizontal="center" vertical="center"/>
    </xf>
    <xf numFmtId="1" fontId="80" fillId="11" borderId="40" xfId="0" applyNumberFormat="1" applyFont="1" applyFill="1" applyBorder="1" applyAlignment="1" applyProtection="1">
      <alignment horizontal="center" vertical="center"/>
      <protection hidden="1"/>
    </xf>
    <xf numFmtId="0" fontId="70" fillId="0" borderId="0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3" fontId="97" fillId="11" borderId="32" xfId="0" applyNumberFormat="1" applyFont="1" applyFill="1" applyBorder="1" applyAlignment="1" applyProtection="1">
      <alignment horizontal="center" vertical="center"/>
      <protection hidden="1"/>
    </xf>
    <xf numFmtId="3" fontId="97" fillId="11" borderId="38" xfId="0" applyNumberFormat="1" applyFont="1" applyFill="1" applyBorder="1" applyAlignment="1" applyProtection="1">
      <alignment horizontal="center" vertical="center"/>
      <protection hidden="1"/>
    </xf>
    <xf numFmtId="0" fontId="70" fillId="2" borderId="4" xfId="0" applyFont="1" applyFill="1" applyBorder="1" applyAlignment="1" applyProtection="1">
      <alignment horizontal="center" vertical="center"/>
      <protection hidden="1"/>
    </xf>
    <xf numFmtId="0" fontId="80" fillId="2" borderId="0" xfId="0" applyFont="1" applyFill="1" applyBorder="1" applyAlignment="1" applyProtection="1">
      <alignment horizontal="right" vertical="center"/>
      <protection hidden="1"/>
    </xf>
    <xf numFmtId="0" fontId="80" fillId="22" borderId="0" xfId="0" applyFont="1" applyFill="1" applyAlignment="1" applyProtection="1">
      <alignment horizontal="center" vertical="center"/>
      <protection hidden="1"/>
    </xf>
    <xf numFmtId="182" fontId="89" fillId="23" borderId="33" xfId="1" applyNumberFormat="1" applyFont="1" applyFill="1" applyBorder="1" applyAlignment="1" applyProtection="1">
      <alignment horizontal="center" vertical="center"/>
      <protection hidden="1"/>
    </xf>
    <xf numFmtId="165" fontId="89" fillId="23" borderId="38" xfId="1" applyNumberFormat="1" applyFont="1" applyFill="1" applyBorder="1" applyAlignment="1" applyProtection="1">
      <alignment horizontal="center" vertical="center"/>
      <protection hidden="1"/>
    </xf>
    <xf numFmtId="0" fontId="69" fillId="2" borderId="35" xfId="0" applyFont="1" applyFill="1" applyBorder="1" applyAlignment="1" applyProtection="1">
      <alignment vertical="center"/>
      <protection hidden="1"/>
    </xf>
    <xf numFmtId="3" fontId="97" fillId="2" borderId="0" xfId="0" applyNumberFormat="1" applyFont="1" applyFill="1" applyBorder="1" applyAlignment="1" applyProtection="1">
      <alignment horizontal="center" vertical="center"/>
      <protection hidden="1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64" fontId="97" fillId="2" borderId="4" xfId="1" applyFont="1" applyFill="1" applyBorder="1" applyAlignment="1" applyProtection="1">
      <alignment vertical="center"/>
      <protection hidden="1"/>
    </xf>
    <xf numFmtId="164" fontId="89" fillId="2" borderId="4" xfId="1" applyFont="1" applyFill="1" applyBorder="1" applyAlignment="1" applyProtection="1">
      <alignment vertical="center"/>
      <protection hidden="1"/>
    </xf>
    <xf numFmtId="0" fontId="69" fillId="2" borderId="0" xfId="0" applyFont="1" applyFill="1" applyBorder="1" applyAlignment="1" applyProtection="1">
      <alignment vertical="center"/>
      <protection hidden="1"/>
    </xf>
    <xf numFmtId="164" fontId="69" fillId="2" borderId="4" xfId="1" applyFont="1" applyFill="1" applyBorder="1" applyAlignment="1" applyProtection="1">
      <alignment vertical="center"/>
      <protection hidden="1"/>
    </xf>
    <xf numFmtId="0" fontId="69" fillId="22" borderId="0" xfId="0" applyFont="1" applyFill="1" applyBorder="1" applyAlignment="1" applyProtection="1">
      <alignment horizontal="center" vertical="center"/>
      <protection hidden="1"/>
    </xf>
    <xf numFmtId="3" fontId="97" fillId="22" borderId="0" xfId="0" applyNumberFormat="1" applyFont="1" applyFill="1" applyBorder="1" applyAlignment="1" applyProtection="1">
      <alignment horizontal="center" vertical="center"/>
      <protection hidden="1"/>
    </xf>
    <xf numFmtId="0" fontId="97" fillId="22" borderId="0" xfId="0" applyFont="1" applyFill="1" applyBorder="1" applyAlignment="1" applyProtection="1">
      <alignment horizontal="center" vertical="center"/>
      <protection hidden="1"/>
    </xf>
    <xf numFmtId="165" fontId="89" fillId="24" borderId="38" xfId="2" applyNumberFormat="1" applyFont="1" applyFill="1" applyBorder="1" applyAlignment="1" applyProtection="1">
      <alignment horizontal="center" vertical="center"/>
      <protection hidden="1"/>
    </xf>
    <xf numFmtId="0" fontId="69" fillId="22" borderId="0" xfId="0" applyFont="1" applyFill="1" applyAlignment="1" applyProtection="1">
      <alignment horizontal="center" vertical="center"/>
      <protection hidden="1"/>
    </xf>
    <xf numFmtId="181" fontId="80" fillId="2" borderId="0" xfId="0" applyNumberFormat="1" applyFont="1" applyFill="1" applyAlignment="1" applyProtection="1">
      <alignment vertical="center"/>
      <protection hidden="1"/>
    </xf>
    <xf numFmtId="0" fontId="69" fillId="2" borderId="0" xfId="0" quotePrefix="1" applyFont="1" applyFill="1" applyBorder="1" applyAlignment="1" applyProtection="1">
      <alignment horizontal="center" vertical="center"/>
      <protection hidden="1"/>
    </xf>
    <xf numFmtId="0" fontId="80" fillId="11" borderId="43" xfId="0" applyFont="1" applyFill="1" applyBorder="1" applyAlignment="1" applyProtection="1">
      <alignment horizontal="left" vertical="center"/>
      <protection hidden="1"/>
    </xf>
    <xf numFmtId="0" fontId="80" fillId="2" borderId="59" xfId="0" applyFont="1" applyFill="1" applyBorder="1" applyAlignment="1" applyProtection="1">
      <alignment horizontal="center" vertical="center"/>
      <protection hidden="1"/>
    </xf>
    <xf numFmtId="0" fontId="80" fillId="11" borderId="37" xfId="0" applyFont="1" applyFill="1" applyBorder="1" applyAlignment="1" applyProtection="1">
      <alignment horizontal="center" vertical="center"/>
      <protection hidden="1"/>
    </xf>
    <xf numFmtId="0" fontId="80" fillId="2" borderId="33" xfId="0" applyFont="1" applyFill="1" applyBorder="1" applyAlignment="1" applyProtection="1">
      <alignment horizontal="center" vertical="center"/>
      <protection hidden="1"/>
    </xf>
    <xf numFmtId="4" fontId="89" fillId="2" borderId="0" xfId="2" applyNumberFormat="1" applyFont="1" applyFill="1" applyBorder="1" applyAlignment="1" applyProtection="1">
      <alignment horizontal="center" vertical="center"/>
      <protection hidden="1"/>
    </xf>
    <xf numFmtId="0" fontId="89" fillId="2" borderId="0" xfId="0" applyFont="1" applyFill="1" applyBorder="1" applyAlignment="1">
      <alignment vertical="center"/>
    </xf>
    <xf numFmtId="0" fontId="80" fillId="2" borderId="0" xfId="0" applyFont="1" applyFill="1" applyBorder="1" applyAlignment="1" applyProtection="1">
      <alignment horizontal="left" vertical="center"/>
      <protection hidden="1"/>
    </xf>
    <xf numFmtId="0" fontId="80" fillId="11" borderId="18" xfId="0" applyFont="1" applyFill="1" applyBorder="1" applyAlignment="1" applyProtection="1">
      <alignment horizontal="left" vertical="center"/>
      <protection hidden="1"/>
    </xf>
    <xf numFmtId="0" fontId="80" fillId="2" borderId="4" xfId="0" applyFont="1" applyFill="1" applyBorder="1" applyAlignment="1" applyProtection="1">
      <alignment horizontal="center" vertical="center"/>
      <protection hidden="1"/>
    </xf>
    <xf numFmtId="0" fontId="80" fillId="11" borderId="16" xfId="0" applyFont="1" applyFill="1" applyBorder="1" applyAlignment="1" applyProtection="1">
      <alignment horizontal="center" vertical="center"/>
      <protection hidden="1"/>
    </xf>
    <xf numFmtId="0" fontId="80" fillId="11" borderId="24" xfId="0" applyFont="1" applyFill="1" applyBorder="1" applyAlignment="1" applyProtection="1">
      <alignment horizontal="left" vertical="center"/>
      <protection hidden="1"/>
    </xf>
    <xf numFmtId="0" fontId="80" fillId="11" borderId="27" xfId="0" applyFont="1" applyFill="1" applyBorder="1" applyAlignment="1" applyProtection="1">
      <alignment horizontal="left" vertical="center" wrapText="1"/>
      <protection hidden="1"/>
    </xf>
    <xf numFmtId="9" fontId="74" fillId="2" borderId="0" xfId="7" applyNumberFormat="1" applyFont="1" applyFill="1" applyBorder="1" applyAlignment="1" applyProtection="1">
      <alignment horizontal="center" vertical="center"/>
      <protection hidden="1"/>
    </xf>
    <xf numFmtId="0" fontId="80" fillId="2" borderId="30" xfId="0" applyFont="1" applyFill="1" applyBorder="1" applyAlignment="1" applyProtection="1">
      <alignment horizontal="center" vertical="center"/>
      <protection hidden="1"/>
    </xf>
    <xf numFmtId="168" fontId="80" fillId="2" borderId="0" xfId="2" applyNumberFormat="1" applyFont="1" applyFill="1" applyBorder="1" applyAlignment="1" applyProtection="1">
      <alignment horizontal="center" vertical="center"/>
      <protection hidden="1"/>
    </xf>
    <xf numFmtId="43" fontId="80" fillId="2" borderId="0" xfId="2" applyNumberFormat="1" applyFont="1" applyFill="1" applyAlignment="1" applyProtection="1">
      <alignment horizontal="right" vertical="center"/>
      <protection hidden="1"/>
    </xf>
    <xf numFmtId="0" fontId="72" fillId="2" borderId="0" xfId="0" applyFont="1" applyFill="1" applyAlignment="1" applyProtection="1">
      <alignment horizontal="left" vertical="center"/>
      <protection hidden="1"/>
    </xf>
    <xf numFmtId="9" fontId="80" fillId="2" borderId="0" xfId="7" applyNumberFormat="1" applyFont="1" applyFill="1" applyBorder="1" applyAlignment="1" applyProtection="1">
      <alignment horizontal="center" vertical="center"/>
      <protection hidden="1"/>
    </xf>
    <xf numFmtId="0" fontId="80" fillId="11" borderId="21" xfId="0" applyFont="1" applyFill="1" applyBorder="1" applyAlignment="1" applyProtection="1">
      <alignment vertical="center"/>
      <protection hidden="1"/>
    </xf>
    <xf numFmtId="0" fontId="90" fillId="2" borderId="30" xfId="0" applyFont="1" applyFill="1" applyBorder="1" applyAlignment="1" applyProtection="1">
      <alignment horizontal="center" vertical="center"/>
      <protection hidden="1"/>
    </xf>
    <xf numFmtId="0" fontId="90" fillId="11" borderId="12" xfId="0" applyFont="1" applyFill="1" applyBorder="1" applyAlignment="1" applyProtection="1">
      <alignment horizontal="center" vertical="center"/>
      <protection hidden="1"/>
    </xf>
    <xf numFmtId="0" fontId="90" fillId="2" borderId="0" xfId="0" applyFont="1" applyFill="1" applyBorder="1" applyAlignment="1" applyProtection="1">
      <alignment horizontal="center" vertical="center"/>
      <protection hidden="1"/>
    </xf>
    <xf numFmtId="168" fontId="80" fillId="2" borderId="0" xfId="0" applyNumberFormat="1" applyFont="1" applyFill="1" applyBorder="1" applyAlignment="1" applyProtection="1">
      <alignment horizontal="center" vertical="center"/>
      <protection hidden="1"/>
    </xf>
    <xf numFmtId="0" fontId="80" fillId="11" borderId="23" xfId="0" applyFont="1" applyFill="1" applyBorder="1" applyAlignment="1" applyProtection="1">
      <alignment vertical="center"/>
      <protection hidden="1"/>
    </xf>
    <xf numFmtId="0" fontId="90" fillId="2" borderId="2" xfId="0" applyFont="1" applyFill="1" applyBorder="1" applyAlignment="1" applyProtection="1">
      <alignment horizontal="center" vertical="center"/>
      <protection hidden="1"/>
    </xf>
    <xf numFmtId="0" fontId="90" fillId="11" borderId="17" xfId="0" applyFont="1" applyFill="1" applyBorder="1" applyAlignment="1" applyProtection="1">
      <alignment horizontal="center" vertical="center"/>
      <protection hidden="1"/>
    </xf>
    <xf numFmtId="0" fontId="69" fillId="14" borderId="0" xfId="0" applyFont="1" applyFill="1" applyBorder="1" applyAlignment="1" applyProtection="1">
      <alignment horizontal="center"/>
      <protection hidden="1"/>
    </xf>
    <xf numFmtId="43" fontId="81" fillId="2" borderId="0" xfId="0" applyNumberFormat="1" applyFont="1" applyFill="1" applyAlignment="1" applyProtection="1">
      <alignment vertical="center"/>
      <protection hidden="1"/>
    </xf>
    <xf numFmtId="0" fontId="69" fillId="14" borderId="0" xfId="0" applyFont="1" applyFill="1" applyBorder="1" applyProtection="1">
      <protection hidden="1"/>
    </xf>
    <xf numFmtId="0" fontId="80" fillId="11" borderId="21" xfId="0" applyFont="1" applyFill="1" applyBorder="1" applyAlignment="1" applyProtection="1">
      <alignment horizontal="left" vertical="center"/>
      <protection hidden="1"/>
    </xf>
    <xf numFmtId="0" fontId="69" fillId="14" borderId="0" xfId="0" applyFont="1" applyFill="1" applyAlignment="1" applyProtection="1">
      <alignment horizontal="center"/>
      <protection hidden="1"/>
    </xf>
    <xf numFmtId="0" fontId="71" fillId="2" borderId="0" xfId="0" applyFont="1" applyFill="1" applyAlignment="1" applyProtection="1">
      <alignment horizontal="center" vertical="center"/>
      <protection hidden="1"/>
    </xf>
    <xf numFmtId="165" fontId="80" fillId="2" borderId="0" xfId="2" applyNumberFormat="1" applyFont="1" applyFill="1" applyAlignment="1" applyProtection="1">
      <alignment horizontal="right" vertical="center"/>
      <protection hidden="1"/>
    </xf>
    <xf numFmtId="14" fontId="100" fillId="14" borderId="0" xfId="0" applyNumberFormat="1" applyFont="1" applyFill="1" applyAlignment="1" applyProtection="1">
      <alignment horizontal="center"/>
      <protection hidden="1"/>
    </xf>
    <xf numFmtId="9" fontId="80" fillId="2" borderId="0" xfId="7" applyFont="1" applyFill="1" applyBorder="1" applyAlignment="1" applyProtection="1">
      <alignment horizontal="center" vertical="center"/>
      <protection hidden="1"/>
    </xf>
    <xf numFmtId="0" fontId="70" fillId="0" borderId="0" xfId="0" applyFont="1" applyBorder="1"/>
    <xf numFmtId="9" fontId="70" fillId="0" borderId="0" xfId="7" applyFont="1"/>
    <xf numFmtId="0" fontId="70" fillId="0" borderId="3" xfId="0" applyFont="1" applyBorder="1"/>
    <xf numFmtId="0" fontId="70" fillId="0" borderId="4" xfId="0" applyFont="1" applyBorder="1"/>
    <xf numFmtId="0" fontId="70" fillId="0" borderId="5" xfId="0" applyFont="1" applyBorder="1"/>
    <xf numFmtId="0" fontId="70" fillId="0" borderId="6" xfId="0" applyFont="1" applyBorder="1"/>
    <xf numFmtId="0" fontId="70" fillId="0" borderId="0" xfId="0" applyFont="1" applyBorder="1" applyAlignment="1">
      <alignment horizontal="center"/>
    </xf>
    <xf numFmtId="9" fontId="70" fillId="0" borderId="0" xfId="7" applyFont="1" applyBorder="1"/>
    <xf numFmtId="0" fontId="70" fillId="0" borderId="1" xfId="0" applyFont="1" applyBorder="1"/>
    <xf numFmtId="0" fontId="70" fillId="0" borderId="6" xfId="0" applyFont="1" applyBorder="1" applyAlignment="1">
      <alignment vertical="center"/>
    </xf>
    <xf numFmtId="0" fontId="70" fillId="0" borderId="0" xfId="0" applyFont="1" applyBorder="1" applyAlignment="1">
      <alignment vertical="center"/>
    </xf>
    <xf numFmtId="0" fontId="70" fillId="0" borderId="1" xfId="0" applyFont="1" applyBorder="1" applyAlignment="1">
      <alignment vertical="center"/>
    </xf>
    <xf numFmtId="0" fontId="70" fillId="0" borderId="0" xfId="0" quotePrefix="1" applyFont="1" applyBorder="1" applyAlignment="1">
      <alignment horizontal="center"/>
    </xf>
    <xf numFmtId="2" fontId="70" fillId="0" borderId="1" xfId="0" applyNumberFormat="1" applyFont="1" applyBorder="1" applyAlignment="1">
      <alignment horizontal="center"/>
    </xf>
    <xf numFmtId="2" fontId="70" fillId="0" borderId="0" xfId="0" applyNumberFormat="1" applyFont="1" applyBorder="1" applyAlignment="1">
      <alignment horizontal="center"/>
    </xf>
    <xf numFmtId="0" fontId="70" fillId="0" borderId="6" xfId="0" applyFont="1" applyBorder="1" applyAlignment="1">
      <alignment horizontal="right" vertical="center"/>
    </xf>
    <xf numFmtId="0" fontId="70" fillId="0" borderId="8" xfId="0" applyFont="1" applyBorder="1" applyAlignment="1">
      <alignment vertical="center"/>
    </xf>
    <xf numFmtId="0" fontId="70" fillId="0" borderId="2" xfId="0" applyFont="1" applyBorder="1" applyAlignment="1">
      <alignment vertical="center"/>
    </xf>
    <xf numFmtId="0" fontId="70" fillId="0" borderId="7" xfId="0" applyFont="1" applyBorder="1" applyAlignment="1">
      <alignment vertical="center"/>
    </xf>
    <xf numFmtId="9" fontId="70" fillId="0" borderId="6" xfId="7" applyFont="1" applyBorder="1" applyAlignment="1">
      <alignment horizontal="right"/>
    </xf>
    <xf numFmtId="167" fontId="70" fillId="0" borderId="0" xfId="0" applyNumberFormat="1" applyFont="1" applyBorder="1"/>
    <xf numFmtId="9" fontId="70" fillId="0" borderId="0" xfId="7" applyFont="1" applyBorder="1" applyAlignment="1">
      <alignment horizontal="center"/>
    </xf>
    <xf numFmtId="0" fontId="70" fillId="0" borderId="0" xfId="0" applyFont="1" applyAlignment="1">
      <alignment vertical="center"/>
    </xf>
    <xf numFmtId="0" fontId="70" fillId="0" borderId="0" xfId="0" applyFont="1" applyFill="1" applyBorder="1"/>
    <xf numFmtId="0" fontId="70" fillId="0" borderId="8" xfId="0" applyFont="1" applyBorder="1" applyAlignment="1">
      <alignment horizontal="right"/>
    </xf>
    <xf numFmtId="167" fontId="70" fillId="0" borderId="2" xfId="0" applyNumberFormat="1" applyFont="1" applyBorder="1"/>
    <xf numFmtId="9" fontId="70" fillId="0" borderId="2" xfId="7" applyFont="1" applyBorder="1" applyAlignment="1">
      <alignment horizontal="center"/>
    </xf>
    <xf numFmtId="0" fontId="70" fillId="0" borderId="7" xfId="0" applyFont="1" applyBorder="1"/>
    <xf numFmtId="0" fontId="70" fillId="0" borderId="3" xfId="0" applyFont="1" applyBorder="1" applyAlignment="1">
      <alignment horizontal="center"/>
    </xf>
    <xf numFmtId="9" fontId="70" fillId="0" borderId="4" xfId="7" applyFont="1" applyBorder="1" applyAlignment="1">
      <alignment horizontal="center"/>
    </xf>
    <xf numFmtId="167" fontId="70" fillId="31" borderId="3" xfId="0" applyNumberFormat="1" applyFont="1" applyFill="1" applyBorder="1" applyAlignment="1">
      <alignment horizontal="center" vertical="center"/>
    </xf>
    <xf numFmtId="0" fontId="70" fillId="0" borderId="6" xfId="0" applyFont="1" applyBorder="1" applyAlignment="1">
      <alignment horizontal="center"/>
    </xf>
    <xf numFmtId="167" fontId="70" fillId="31" borderId="6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top"/>
    </xf>
    <xf numFmtId="0" fontId="70" fillId="0" borderId="0" xfId="0" applyFont="1" applyAlignment="1">
      <alignment horizontal="left" vertical="top"/>
    </xf>
    <xf numFmtId="0" fontId="70" fillId="0" borderId="0" xfId="0" applyFont="1" applyBorder="1" applyAlignment="1">
      <alignment horizontal="left" vertical="top"/>
    </xf>
    <xf numFmtId="0" fontId="70" fillId="0" borderId="8" xfId="0" applyFont="1" applyBorder="1" applyAlignment="1">
      <alignment horizontal="center"/>
    </xf>
    <xf numFmtId="167" fontId="70" fillId="31" borderId="8" xfId="0" applyNumberFormat="1" applyFont="1" applyFill="1" applyBorder="1" applyAlignment="1">
      <alignment horizontal="center" vertical="center"/>
    </xf>
    <xf numFmtId="0" fontId="70" fillId="0" borderId="2" xfId="0" applyFont="1" applyFill="1" applyBorder="1" applyAlignment="1">
      <alignment horizontal="center" vertical="center"/>
    </xf>
    <xf numFmtId="0" fontId="70" fillId="0" borderId="7" xfId="0" applyFont="1" applyFill="1" applyBorder="1" applyAlignment="1">
      <alignment horizontal="center" vertical="center"/>
    </xf>
    <xf numFmtId="0" fontId="70" fillId="15" borderId="3" xfId="0" applyFont="1" applyFill="1" applyBorder="1" applyAlignment="1">
      <alignment horizontal="center"/>
    </xf>
    <xf numFmtId="9" fontId="70" fillId="15" borderId="4" xfId="7" applyFont="1" applyFill="1" applyBorder="1" applyAlignment="1">
      <alignment horizontal="center"/>
    </xf>
    <xf numFmtId="0" fontId="70" fillId="15" borderId="0" xfId="0" applyFont="1" applyFill="1"/>
    <xf numFmtId="0" fontId="70" fillId="15" borderId="4" xfId="0" applyFont="1" applyFill="1" applyBorder="1" applyAlignment="1">
      <alignment horizontal="center" vertical="center"/>
    </xf>
    <xf numFmtId="0" fontId="70" fillId="15" borderId="5" xfId="0" applyFont="1" applyFill="1" applyBorder="1" applyAlignment="1">
      <alignment horizontal="center" vertical="center"/>
    </xf>
    <xf numFmtId="0" fontId="70" fillId="15" borderId="0" xfId="0" applyFont="1" applyFill="1" applyBorder="1"/>
    <xf numFmtId="0" fontId="70" fillId="15" borderId="6" xfId="0" applyFont="1" applyFill="1" applyBorder="1" applyAlignment="1">
      <alignment horizontal="center"/>
    </xf>
    <xf numFmtId="9" fontId="70" fillId="15" borderId="0" xfId="7" applyFont="1" applyFill="1" applyBorder="1" applyAlignment="1">
      <alignment horizontal="center"/>
    </xf>
    <xf numFmtId="0" fontId="70" fillId="15" borderId="0" xfId="0" applyFont="1" applyFill="1" applyBorder="1" applyAlignment="1">
      <alignment horizontal="center" vertical="center"/>
    </xf>
    <xf numFmtId="0" fontId="70" fillId="15" borderId="1" xfId="0" applyFont="1" applyFill="1" applyBorder="1" applyAlignment="1">
      <alignment horizontal="center" vertical="center"/>
    </xf>
    <xf numFmtId="0" fontId="70" fillId="15" borderId="8" xfId="0" applyFont="1" applyFill="1" applyBorder="1" applyAlignment="1">
      <alignment horizontal="center"/>
    </xf>
    <xf numFmtId="9" fontId="70" fillId="15" borderId="2" xfId="7" applyFont="1" applyFill="1" applyBorder="1" applyAlignment="1">
      <alignment horizontal="center"/>
    </xf>
    <xf numFmtId="0" fontId="70" fillId="29" borderId="8" xfId="0" applyFont="1" applyFill="1" applyBorder="1" applyAlignment="1">
      <alignment horizontal="center"/>
    </xf>
    <xf numFmtId="0" fontId="70" fillId="29" borderId="2" xfId="0" applyFont="1" applyFill="1" applyBorder="1"/>
    <xf numFmtId="0" fontId="70" fillId="29" borderId="0" xfId="0" applyFont="1" applyFill="1"/>
    <xf numFmtId="167" fontId="70" fillId="30" borderId="0" xfId="0" applyNumberFormat="1" applyFont="1" applyFill="1" applyBorder="1" applyAlignment="1">
      <alignment horizontal="center" vertical="center"/>
    </xf>
    <xf numFmtId="0" fontId="70" fillId="0" borderId="0" xfId="0" applyFont="1" applyFill="1" applyProtection="1">
      <protection hidden="1"/>
    </xf>
    <xf numFmtId="0" fontId="75" fillId="0" borderId="0" xfId="0" applyFont="1" applyProtection="1">
      <protection hidden="1"/>
    </xf>
    <xf numFmtId="0" fontId="71" fillId="0" borderId="0" xfId="0" applyFont="1" applyFill="1" applyProtection="1">
      <protection hidden="1"/>
    </xf>
    <xf numFmtId="0" fontId="71" fillId="0" borderId="0" xfId="0" applyFont="1" applyAlignment="1" applyProtection="1">
      <alignment horizontal="left"/>
      <protection hidden="1"/>
    </xf>
    <xf numFmtId="0" fontId="71" fillId="0" borderId="0" xfId="0" applyFont="1" applyAlignment="1" applyProtection="1">
      <alignment horizontal="center"/>
      <protection hidden="1"/>
    </xf>
    <xf numFmtId="9" fontId="70" fillId="0" borderId="0" xfId="7" applyFont="1" applyAlignment="1">
      <alignment horizontal="center"/>
    </xf>
    <xf numFmtId="43" fontId="70" fillId="0" borderId="0" xfId="2" applyNumberFormat="1" applyFont="1"/>
    <xf numFmtId="0" fontId="70" fillId="0" borderId="0" xfId="0" applyFont="1" applyProtection="1">
      <protection hidden="1"/>
    </xf>
    <xf numFmtId="166" fontId="70" fillId="0" borderId="0" xfId="2" applyNumberFormat="1" applyFont="1" applyFill="1" applyAlignment="1" applyProtection="1">
      <alignment horizontal="center"/>
      <protection hidden="1"/>
    </xf>
    <xf numFmtId="0" fontId="75" fillId="0" borderId="0" xfId="0" applyFont="1" applyFill="1" applyProtection="1">
      <protection hidden="1"/>
    </xf>
    <xf numFmtId="0" fontId="70" fillId="0" borderId="0" xfId="0" applyFont="1" applyFill="1" applyAlignment="1" applyProtection="1">
      <alignment horizontal="center"/>
      <protection hidden="1"/>
    </xf>
    <xf numFmtId="43" fontId="70" fillId="0" borderId="0" xfId="2" applyFont="1" applyFill="1" applyProtection="1">
      <protection hidden="1"/>
    </xf>
    <xf numFmtId="43" fontId="70" fillId="0" borderId="0" xfId="0" applyNumberFormat="1" applyFont="1" applyFill="1" applyProtection="1">
      <protection hidden="1"/>
    </xf>
    <xf numFmtId="183" fontId="70" fillId="0" borderId="0" xfId="9" applyNumberFormat="1" applyFont="1" applyFill="1" applyProtection="1">
      <protection hidden="1"/>
    </xf>
    <xf numFmtId="4" fontId="69" fillId="11" borderId="67" xfId="2" applyNumberFormat="1" applyFont="1" applyFill="1" applyBorder="1" applyAlignment="1" applyProtection="1">
      <alignment horizontal="center" vertical="center"/>
      <protection hidden="1"/>
    </xf>
    <xf numFmtId="4" fontId="69" fillId="11" borderId="58" xfId="2" applyNumberFormat="1" applyFont="1" applyFill="1" applyBorder="1" applyAlignment="1" applyProtection="1">
      <alignment horizontal="center" vertical="center"/>
      <protection hidden="1"/>
    </xf>
    <xf numFmtId="4" fontId="80" fillId="11" borderId="18" xfId="2" applyNumberFormat="1" applyFont="1" applyFill="1" applyBorder="1" applyAlignment="1" applyProtection="1">
      <alignment horizontal="center" vertical="center"/>
      <protection hidden="1"/>
    </xf>
    <xf numFmtId="4" fontId="80" fillId="11" borderId="16" xfId="2" applyNumberFormat="1" applyFont="1" applyFill="1" applyBorder="1" applyAlignment="1" applyProtection="1">
      <alignment horizontal="center" vertical="center"/>
      <protection hidden="1"/>
    </xf>
    <xf numFmtId="4" fontId="80" fillId="11" borderId="20" xfId="2" applyNumberFormat="1" applyFont="1" applyFill="1" applyBorder="1" applyAlignment="1" applyProtection="1">
      <alignment horizontal="center" vertical="center"/>
      <protection hidden="1"/>
    </xf>
    <xf numFmtId="3" fontId="81" fillId="12" borderId="38" xfId="2" applyNumberFormat="1" applyFont="1" applyFill="1" applyBorder="1" applyAlignment="1" applyProtection="1">
      <alignment horizontal="right" vertical="center"/>
      <protection locked="0" hidden="1"/>
    </xf>
    <xf numFmtId="185" fontId="81" fillId="12" borderId="38" xfId="2" applyNumberFormat="1" applyFont="1" applyFill="1" applyBorder="1" applyAlignment="1" applyProtection="1">
      <alignment horizontal="right" vertical="center"/>
      <protection locked="0" hidden="1"/>
    </xf>
    <xf numFmtId="185" fontId="81" fillId="12" borderId="20" xfId="2" applyNumberFormat="1" applyFont="1" applyFill="1" applyBorder="1" applyAlignment="1" applyProtection="1">
      <alignment horizontal="right" vertical="center"/>
      <protection locked="0" hidden="1"/>
    </xf>
    <xf numFmtId="1" fontId="81" fillId="12" borderId="21" xfId="0" applyNumberFormat="1" applyFont="1" applyFill="1" applyBorder="1" applyAlignment="1" applyProtection="1">
      <alignment horizontal="center" vertical="center"/>
      <protection locked="0" hidden="1"/>
    </xf>
    <xf numFmtId="0" fontId="103" fillId="12" borderId="18" xfId="0" applyFont="1" applyFill="1" applyBorder="1" applyAlignment="1" applyProtection="1">
      <alignment horizontal="center"/>
      <protection locked="0" hidden="1"/>
    </xf>
    <xf numFmtId="0" fontId="103" fillId="12" borderId="21" xfId="0" applyFont="1" applyFill="1" applyBorder="1" applyAlignment="1" applyProtection="1">
      <alignment horizontal="center"/>
      <protection locked="0" hidden="1"/>
    </xf>
    <xf numFmtId="0" fontId="103" fillId="12" borderId="23" xfId="0" applyFont="1" applyFill="1" applyBorder="1" applyAlignment="1" applyProtection="1">
      <alignment horizontal="center"/>
      <protection locked="0" hidden="1"/>
    </xf>
    <xf numFmtId="4" fontId="80" fillId="11" borderId="31" xfId="2" applyNumberFormat="1" applyFont="1" applyFill="1" applyBorder="1" applyAlignment="1" applyProtection="1">
      <alignment horizontal="center" vertical="center"/>
      <protection hidden="1"/>
    </xf>
    <xf numFmtId="4" fontId="80" fillId="11" borderId="26" xfId="2" applyNumberFormat="1" applyFont="1" applyFill="1" applyBorder="1" applyAlignment="1" applyProtection="1">
      <alignment horizontal="center" vertical="center"/>
      <protection hidden="1"/>
    </xf>
    <xf numFmtId="4" fontId="80" fillId="11" borderId="52" xfId="2" applyNumberFormat="1" applyFont="1" applyFill="1" applyBorder="1" applyAlignment="1" applyProtection="1">
      <alignment horizontal="center" vertical="center"/>
      <protection hidden="1"/>
    </xf>
    <xf numFmtId="0" fontId="70" fillId="22" borderId="0" xfId="0" applyFont="1" applyFill="1" applyAlignment="1">
      <alignment horizontal="center"/>
    </xf>
    <xf numFmtId="0" fontId="0" fillId="22" borderId="0" xfId="0" applyFill="1"/>
    <xf numFmtId="0" fontId="70" fillId="32" borderId="0" xfId="0" applyFont="1" applyFill="1"/>
    <xf numFmtId="0" fontId="78" fillId="32" borderId="0" xfId="0" applyFont="1" applyFill="1"/>
    <xf numFmtId="0" fontId="70" fillId="22" borderId="0" xfId="0" applyFont="1" applyFill="1" applyAlignment="1">
      <alignment horizontal="left" vertical="center"/>
    </xf>
    <xf numFmtId="0" fontId="80" fillId="11" borderId="24" xfId="0" applyFont="1" applyFill="1" applyBorder="1" applyAlignment="1" applyProtection="1">
      <alignment vertical="center"/>
      <protection hidden="1"/>
    </xf>
    <xf numFmtId="44" fontId="90" fillId="21" borderId="17" xfId="2" applyNumberFormat="1" applyFont="1" applyFill="1" applyBorder="1" applyAlignment="1" applyProtection="1">
      <alignment horizontal="center" vertical="center" wrapText="1"/>
      <protection locked="0" hidden="1"/>
    </xf>
    <xf numFmtId="0" fontId="70" fillId="22" borderId="74" xfId="0" applyFont="1" applyFill="1" applyBorder="1" applyAlignment="1" applyProtection="1">
      <alignment vertical="center"/>
      <protection locked="0" hidden="1"/>
    </xf>
    <xf numFmtId="171" fontId="91" fillId="33" borderId="12" xfId="7" applyNumberFormat="1" applyFont="1" applyFill="1" applyBorder="1" applyAlignment="1" applyProtection="1">
      <alignment horizontal="center" vertical="center" wrapText="1"/>
      <protection locked="0" hidden="1"/>
    </xf>
    <xf numFmtId="171" fontId="91" fillId="33" borderId="22" xfId="7" applyNumberFormat="1" applyFont="1" applyFill="1" applyBorder="1" applyAlignment="1" applyProtection="1">
      <alignment horizontal="center" vertical="center" wrapText="1"/>
      <protection locked="0" hidden="1"/>
    </xf>
    <xf numFmtId="4" fontId="91" fillId="33" borderId="12" xfId="7" applyNumberFormat="1" applyFont="1" applyFill="1" applyBorder="1" applyAlignment="1" applyProtection="1">
      <alignment horizontal="center" vertical="center" wrapText="1"/>
      <protection locked="0" hidden="1"/>
    </xf>
    <xf numFmtId="4" fontId="91" fillId="33" borderId="22" xfId="7" applyNumberFormat="1" applyFont="1" applyFill="1" applyBorder="1" applyAlignment="1" applyProtection="1">
      <alignment horizontal="center" vertical="center" wrapText="1"/>
      <protection locked="0" hidden="1"/>
    </xf>
    <xf numFmtId="0" fontId="78" fillId="22" borderId="0" xfId="0" applyFont="1" applyFill="1"/>
    <xf numFmtId="0" fontId="80" fillId="2" borderId="18" xfId="0" applyFont="1" applyFill="1" applyBorder="1" applyAlignment="1" applyProtection="1">
      <alignment horizontal="center" vertical="center" wrapText="1"/>
    </xf>
    <xf numFmtId="0" fontId="80" fillId="2" borderId="20" xfId="0" applyFont="1" applyFill="1" applyBorder="1" applyAlignment="1" applyProtection="1">
      <alignment vertical="center"/>
    </xf>
    <xf numFmtId="0" fontId="70" fillId="2" borderId="21" xfId="0" applyFont="1" applyFill="1" applyBorder="1" applyAlignment="1" applyProtection="1">
      <alignment vertical="center"/>
    </xf>
    <xf numFmtId="0" fontId="70" fillId="2" borderId="22" xfId="0" applyFont="1" applyFill="1" applyBorder="1" applyAlignment="1" applyProtection="1">
      <alignment vertical="center"/>
    </xf>
    <xf numFmtId="0" fontId="2" fillId="22" borderId="4" xfId="12" applyFill="1" applyBorder="1"/>
    <xf numFmtId="0" fontId="2" fillId="22" borderId="5" xfId="12" applyFill="1" applyBorder="1"/>
    <xf numFmtId="0" fontId="2" fillId="22" borderId="3" xfId="12" applyFill="1" applyBorder="1"/>
    <xf numFmtId="0" fontId="70" fillId="22" borderId="0" xfId="0" applyFont="1" applyFill="1" applyAlignment="1">
      <alignment vertical="center"/>
    </xf>
    <xf numFmtId="0" fontId="70" fillId="34" borderId="0" xfId="0" applyFont="1" applyFill="1" applyAlignment="1">
      <alignment vertical="center"/>
    </xf>
    <xf numFmtId="0" fontId="70" fillId="34" borderId="0" xfId="0" applyFont="1" applyFill="1" applyAlignment="1">
      <alignment horizontal="left" vertical="center"/>
    </xf>
    <xf numFmtId="0" fontId="70" fillId="34" borderId="0" xfId="0" applyFont="1" applyFill="1" applyAlignment="1">
      <alignment horizontal="center"/>
    </xf>
    <xf numFmtId="0" fontId="70" fillId="34" borderId="0" xfId="0" applyFont="1" applyFill="1"/>
    <xf numFmtId="0" fontId="0" fillId="0" borderId="63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62" xfId="0" applyBorder="1" applyAlignment="1">
      <alignment horizontal="center"/>
    </xf>
    <xf numFmtId="0" fontId="19" fillId="0" borderId="13" xfId="0" applyFont="1" applyFill="1" applyBorder="1" applyAlignment="1" applyProtection="1">
      <protection hidden="1"/>
    </xf>
    <xf numFmtId="0" fontId="0" fillId="0" borderId="26" xfId="0" applyBorder="1" applyAlignment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70" fillId="0" borderId="3" xfId="0" applyFont="1" applyBorder="1" applyAlignment="1">
      <alignment horizontal="center"/>
    </xf>
    <xf numFmtId="0" fontId="70" fillId="0" borderId="4" xfId="0" applyFont="1" applyBorder="1" applyAlignment="1">
      <alignment horizontal="center"/>
    </xf>
    <xf numFmtId="0" fontId="70" fillId="0" borderId="5" xfId="0" applyFont="1" applyBorder="1" applyAlignment="1">
      <alignment horizontal="center"/>
    </xf>
    <xf numFmtId="4" fontId="73" fillId="11" borderId="3" xfId="2" applyNumberFormat="1" applyFont="1" applyFill="1" applyBorder="1" applyAlignment="1" applyProtection="1">
      <alignment horizontal="center" vertical="center" wrapText="1"/>
      <protection hidden="1"/>
    </xf>
    <xf numFmtId="0" fontId="67" fillId="11" borderId="4" xfId="0" applyFont="1" applyFill="1" applyBorder="1" applyAlignment="1">
      <alignment wrapText="1"/>
    </xf>
    <xf numFmtId="0" fontId="67" fillId="11" borderId="5" xfId="0" applyFont="1" applyFill="1" applyBorder="1" applyAlignment="1">
      <alignment wrapText="1"/>
    </xf>
    <xf numFmtId="0" fontId="67" fillId="11" borderId="6" xfId="0" applyFont="1" applyFill="1" applyBorder="1" applyAlignment="1">
      <alignment wrapText="1"/>
    </xf>
    <xf numFmtId="0" fontId="67" fillId="11" borderId="0" xfId="0" applyFont="1" applyFill="1" applyBorder="1" applyAlignment="1">
      <alignment wrapText="1"/>
    </xf>
    <xf numFmtId="0" fontId="67" fillId="11" borderId="1" xfId="0" applyFont="1" applyFill="1" applyBorder="1" applyAlignment="1">
      <alignment wrapText="1"/>
    </xf>
    <xf numFmtId="0" fontId="67" fillId="0" borderId="6" xfId="0" applyFont="1" applyBorder="1" applyAlignment="1"/>
    <xf numFmtId="0" fontId="67" fillId="0" borderId="0" xfId="0" applyFont="1" applyBorder="1" applyAlignment="1"/>
    <xf numFmtId="0" fontId="67" fillId="0" borderId="1" xfId="0" applyFont="1" applyBorder="1" applyAlignment="1"/>
    <xf numFmtId="0" fontId="67" fillId="0" borderId="8" xfId="0" applyFont="1" applyBorder="1" applyAlignment="1"/>
    <xf numFmtId="0" fontId="67" fillId="0" borderId="2" xfId="0" applyFont="1" applyBorder="1" applyAlignment="1"/>
    <xf numFmtId="0" fontId="67" fillId="0" borderId="7" xfId="0" applyFont="1" applyBorder="1" applyAlignment="1"/>
    <xf numFmtId="0" fontId="24" fillId="11" borderId="32" xfId="0" applyFont="1" applyFill="1" applyBorder="1" applyAlignment="1" applyProtection="1">
      <alignment horizontal="center"/>
      <protection hidden="1"/>
    </xf>
    <xf numFmtId="0" fontId="24" fillId="11" borderId="33" xfId="0" applyFont="1" applyFill="1" applyBorder="1" applyAlignment="1" applyProtection="1">
      <alignment horizontal="center"/>
      <protection hidden="1"/>
    </xf>
    <xf numFmtId="0" fontId="24" fillId="11" borderId="3" xfId="0" applyFont="1" applyFill="1" applyBorder="1" applyAlignment="1" applyProtection="1">
      <alignment horizontal="center"/>
      <protection hidden="1"/>
    </xf>
    <xf numFmtId="0" fontId="24" fillId="11" borderId="5" xfId="0" applyFont="1" applyFill="1" applyBorder="1" applyAlignment="1" applyProtection="1">
      <alignment horizontal="center"/>
      <protection hidden="1"/>
    </xf>
    <xf numFmtId="49" fontId="69" fillId="0" borderId="0" xfId="0" quotePrefix="1" applyNumberFormat="1" applyFont="1" applyFill="1" applyBorder="1" applyAlignment="1" applyProtection="1">
      <alignment horizontal="center" vertical="center"/>
      <protection hidden="1"/>
    </xf>
    <xf numFmtId="49" fontId="70" fillId="0" borderId="0" xfId="0" applyNumberFormat="1" applyFont="1" applyBorder="1" applyAlignment="1" applyProtection="1">
      <alignment horizontal="center"/>
      <protection hidden="1"/>
    </xf>
    <xf numFmtId="49" fontId="70" fillId="0" borderId="0" xfId="0" applyNumberFormat="1" applyFont="1" applyAlignment="1"/>
    <xf numFmtId="0" fontId="76" fillId="12" borderId="3" xfId="0" applyFont="1" applyFill="1" applyBorder="1" applyAlignment="1" applyProtection="1">
      <alignment horizontal="center" vertical="center" wrapText="1"/>
      <protection hidden="1"/>
    </xf>
    <xf numFmtId="0" fontId="76" fillId="12" borderId="4" xfId="0" applyFont="1" applyFill="1" applyBorder="1" applyAlignment="1" applyProtection="1">
      <alignment horizontal="center" vertical="center" wrapText="1"/>
      <protection hidden="1"/>
    </xf>
    <xf numFmtId="0" fontId="77" fillId="12" borderId="5" xfId="0" applyFont="1" applyFill="1" applyBorder="1" applyAlignment="1"/>
    <xf numFmtId="0" fontId="76" fillId="12" borderId="6" xfId="0" applyFont="1" applyFill="1" applyBorder="1" applyAlignment="1">
      <alignment horizontal="center" vertical="center" wrapText="1"/>
    </xf>
    <xf numFmtId="0" fontId="76" fillId="12" borderId="0" xfId="0" applyFont="1" applyFill="1" applyBorder="1" applyAlignment="1">
      <alignment horizontal="center" vertical="center" wrapText="1"/>
    </xf>
    <xf numFmtId="0" fontId="77" fillId="12" borderId="1" xfId="0" applyFont="1" applyFill="1" applyBorder="1" applyAlignment="1"/>
    <xf numFmtId="0" fontId="76" fillId="12" borderId="8" xfId="0" applyFont="1" applyFill="1" applyBorder="1" applyAlignment="1">
      <alignment horizontal="center" vertical="center" wrapText="1"/>
    </xf>
    <xf numFmtId="0" fontId="76" fillId="12" borderId="2" xfId="0" applyFont="1" applyFill="1" applyBorder="1" applyAlignment="1">
      <alignment horizontal="center" vertical="center" wrapText="1"/>
    </xf>
    <xf numFmtId="0" fontId="77" fillId="12" borderId="7" xfId="0" applyFont="1" applyFill="1" applyBorder="1" applyAlignment="1"/>
    <xf numFmtId="0" fontId="74" fillId="11" borderId="32" xfId="0" applyFont="1" applyFill="1" applyBorder="1" applyAlignment="1" applyProtection="1">
      <alignment horizontal="center" vertical="center" wrapText="1"/>
      <protection hidden="1"/>
    </xf>
    <xf numFmtId="0" fontId="75" fillId="11" borderId="35" xfId="0" applyFont="1" applyFill="1" applyBorder="1" applyAlignment="1">
      <alignment horizontal="center" wrapText="1"/>
    </xf>
    <xf numFmtId="0" fontId="75" fillId="11" borderId="33" xfId="0" applyFont="1" applyFill="1" applyBorder="1" applyAlignment="1">
      <alignment horizontal="center" wrapText="1"/>
    </xf>
    <xf numFmtId="0" fontId="71" fillId="11" borderId="32" xfId="0" applyFont="1" applyFill="1" applyBorder="1" applyAlignment="1" applyProtection="1">
      <alignment horizontal="center" vertical="center"/>
    </xf>
    <xf numFmtId="0" fontId="70" fillId="11" borderId="35" xfId="0" applyFont="1" applyFill="1" applyBorder="1" applyAlignment="1">
      <alignment horizontal="center" vertical="center"/>
    </xf>
    <xf numFmtId="0" fontId="70" fillId="11" borderId="33" xfId="0" applyFont="1" applyFill="1" applyBorder="1" applyAlignment="1">
      <alignment horizontal="center" vertical="center"/>
    </xf>
    <xf numFmtId="0" fontId="71" fillId="11" borderId="43" xfId="0" applyFont="1" applyFill="1" applyBorder="1" applyAlignment="1" applyProtection="1">
      <alignment horizontal="center" vertical="center" wrapText="1"/>
      <protection hidden="1"/>
    </xf>
    <xf numFmtId="0" fontId="71" fillId="11" borderId="37" xfId="0" applyFont="1" applyFill="1" applyBorder="1" applyAlignment="1" applyProtection="1">
      <alignment horizontal="center" vertical="center" wrapText="1"/>
      <protection hidden="1"/>
    </xf>
    <xf numFmtId="0" fontId="71" fillId="11" borderId="38" xfId="0" applyFont="1" applyFill="1" applyBorder="1" applyAlignment="1" applyProtection="1">
      <alignment horizontal="center" vertical="center" wrapText="1"/>
      <protection hidden="1"/>
    </xf>
    <xf numFmtId="0" fontId="71" fillId="11" borderId="18" xfId="0" applyFont="1" applyFill="1" applyBorder="1" applyAlignment="1" applyProtection="1">
      <alignment horizontal="center"/>
      <protection hidden="1"/>
    </xf>
    <xf numFmtId="0" fontId="71" fillId="11" borderId="16" xfId="0" applyFont="1" applyFill="1" applyBorder="1" applyAlignment="1" applyProtection="1">
      <alignment horizontal="center"/>
      <protection hidden="1"/>
    </xf>
    <xf numFmtId="0" fontId="71" fillId="11" borderId="23" xfId="0" applyFont="1" applyFill="1" applyBorder="1" applyAlignment="1" applyProtection="1">
      <alignment horizontal="center"/>
      <protection hidden="1"/>
    </xf>
    <xf numFmtId="0" fontId="71" fillId="11" borderId="17" xfId="0" applyFont="1" applyFill="1" applyBorder="1" applyAlignment="1" applyProtection="1">
      <alignment horizontal="center"/>
      <protection hidden="1"/>
    </xf>
    <xf numFmtId="0" fontId="30" fillId="13" borderId="18" xfId="0" applyFont="1" applyFill="1" applyBorder="1" applyAlignment="1" applyProtection="1">
      <alignment horizontal="center"/>
      <protection hidden="1"/>
    </xf>
    <xf numFmtId="0" fontId="30" fillId="13" borderId="20" xfId="0" applyFont="1" applyFill="1" applyBorder="1" applyAlignment="1" applyProtection="1">
      <alignment horizontal="center"/>
      <protection hidden="1"/>
    </xf>
    <xf numFmtId="0" fontId="30" fillId="9" borderId="21" xfId="0" applyFont="1" applyFill="1" applyBorder="1" applyAlignment="1" applyProtection="1">
      <alignment horizontal="center"/>
      <protection hidden="1"/>
    </xf>
    <xf numFmtId="0" fontId="30" fillId="9" borderId="22" xfId="0" applyFont="1" applyFill="1" applyBorder="1" applyAlignment="1" applyProtection="1">
      <alignment horizontal="center"/>
      <protection hidden="1"/>
    </xf>
    <xf numFmtId="0" fontId="30" fillId="5" borderId="23" xfId="0" applyFont="1" applyFill="1" applyBorder="1" applyAlignment="1" applyProtection="1">
      <alignment horizontal="center"/>
      <protection hidden="1"/>
    </xf>
    <xf numFmtId="0" fontId="30" fillId="5" borderId="19" xfId="0" applyFont="1" applyFill="1" applyBorder="1" applyAlignment="1" applyProtection="1">
      <alignment horizontal="center"/>
      <protection hidden="1"/>
    </xf>
    <xf numFmtId="0" fontId="60" fillId="28" borderId="9" xfId="0" applyFont="1" applyFill="1" applyBorder="1" applyAlignment="1">
      <alignment horizontal="center" vertical="center" textRotation="90" wrapText="1"/>
    </xf>
    <xf numFmtId="0" fontId="20" fillId="0" borderId="10" xfId="0" applyFont="1" applyBorder="1" applyAlignment="1">
      <alignment horizontal="center" vertical="center" textRotation="90" wrapText="1"/>
    </xf>
    <xf numFmtId="0" fontId="20" fillId="0" borderId="11" xfId="0" applyFont="1" applyBorder="1" applyAlignment="1">
      <alignment horizontal="center" vertical="center" textRotation="90" wrapText="1"/>
    </xf>
    <xf numFmtId="0" fontId="80" fillId="11" borderId="32" xfId="0" applyFont="1" applyFill="1" applyBorder="1" applyAlignment="1" applyProtection="1">
      <alignment vertical="center" wrapText="1"/>
      <protection hidden="1"/>
    </xf>
    <xf numFmtId="0" fontId="80" fillId="11" borderId="36" xfId="0" applyFont="1" applyFill="1" applyBorder="1" applyAlignment="1" applyProtection="1">
      <alignment vertical="center" wrapText="1"/>
      <protection hidden="1"/>
    </xf>
    <xf numFmtId="0" fontId="80" fillId="11" borderId="32" xfId="0" applyFont="1" applyFill="1" applyBorder="1" applyAlignment="1" applyProtection="1">
      <alignment horizontal="left" vertical="center"/>
      <protection hidden="1"/>
    </xf>
    <xf numFmtId="0" fontId="80" fillId="11" borderId="36" xfId="0" applyFont="1" applyFill="1" applyBorder="1" applyAlignment="1" applyProtection="1">
      <alignment horizontal="left" vertical="center"/>
      <protection hidden="1"/>
    </xf>
    <xf numFmtId="0" fontId="69" fillId="2" borderId="0" xfId="0" quotePrefix="1" applyFont="1" applyFill="1" applyBorder="1" applyAlignment="1" applyProtection="1">
      <alignment horizontal="center" vertical="center"/>
      <protection hidden="1"/>
    </xf>
    <xf numFmtId="0" fontId="69" fillId="2" borderId="0" xfId="0" quotePrefix="1" applyFont="1" applyFill="1" applyAlignment="1" applyProtection="1">
      <alignment horizontal="center" vertical="center"/>
      <protection hidden="1"/>
    </xf>
    <xf numFmtId="0" fontId="80" fillId="11" borderId="3" xfId="0" applyFont="1" applyFill="1" applyBorder="1" applyAlignment="1" applyProtection="1">
      <alignment horizontal="left" vertical="center"/>
      <protection hidden="1"/>
    </xf>
    <xf numFmtId="0" fontId="70" fillId="0" borderId="65" xfId="0" applyFont="1" applyBorder="1" applyAlignment="1">
      <alignment vertical="center"/>
    </xf>
    <xf numFmtId="0" fontId="80" fillId="11" borderId="6" xfId="0" applyFont="1" applyFill="1" applyBorder="1" applyAlignment="1" applyProtection="1">
      <alignment horizontal="left" vertical="center"/>
      <protection hidden="1"/>
    </xf>
    <xf numFmtId="0" fontId="70" fillId="0" borderId="66" xfId="0" applyFont="1" applyBorder="1" applyAlignment="1">
      <alignment vertical="center"/>
    </xf>
    <xf numFmtId="0" fontId="70" fillId="0" borderId="6" xfId="0" applyFont="1" applyBorder="1" applyAlignment="1">
      <alignment horizontal="left" vertical="center"/>
    </xf>
    <xf numFmtId="0" fontId="70" fillId="0" borderId="8" xfId="0" applyFont="1" applyBorder="1" applyAlignment="1">
      <alignment horizontal="left" vertical="center"/>
    </xf>
    <xf numFmtId="0" fontId="70" fillId="0" borderId="67" xfId="0" applyFont="1" applyBorder="1" applyAlignment="1">
      <alignment vertical="center"/>
    </xf>
    <xf numFmtId="0" fontId="44" fillId="2" borderId="0" xfId="0" applyFont="1" applyFill="1" applyAlignment="1" applyProtection="1">
      <alignment horizontal="justify" vertical="center" wrapText="1"/>
      <protection hidden="1"/>
    </xf>
    <xf numFmtId="0" fontId="70" fillId="11" borderId="36" xfId="0" applyFont="1" applyFill="1" applyBorder="1" applyAlignment="1" applyProtection="1">
      <alignment horizontal="left"/>
      <protection hidden="1"/>
    </xf>
    <xf numFmtId="0" fontId="80" fillId="11" borderId="32" xfId="0" applyFont="1" applyFill="1" applyBorder="1" applyAlignment="1" applyProtection="1">
      <alignment horizontal="left" vertical="center" wrapText="1"/>
      <protection hidden="1"/>
    </xf>
    <xf numFmtId="0" fontId="82" fillId="11" borderId="21" xfId="0" applyFont="1" applyFill="1" applyBorder="1" applyAlignment="1" applyProtection="1">
      <alignment vertical="center"/>
      <protection hidden="1"/>
    </xf>
    <xf numFmtId="0" fontId="70" fillId="11" borderId="22" xfId="0" applyFont="1" applyFill="1" applyBorder="1" applyAlignment="1" applyProtection="1">
      <alignment vertical="center"/>
      <protection hidden="1"/>
    </xf>
    <xf numFmtId="0" fontId="104" fillId="33" borderId="64" xfId="0" applyFont="1" applyFill="1" applyBorder="1" applyAlignment="1" applyProtection="1">
      <alignment horizontal="center" vertical="center"/>
      <protection hidden="1"/>
    </xf>
    <xf numFmtId="0" fontId="104" fillId="33" borderId="47" xfId="0" applyFont="1" applyFill="1" applyBorder="1" applyAlignment="1" applyProtection="1">
      <alignment horizontal="center" vertical="center"/>
      <protection hidden="1"/>
    </xf>
    <xf numFmtId="3" fontId="81" fillId="12" borderId="32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35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33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43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37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38" xfId="2" applyNumberFormat="1" applyFont="1" applyFill="1" applyBorder="1" applyAlignment="1" applyProtection="1">
      <alignment horizontal="center" vertical="center"/>
      <protection locked="0" hidden="1"/>
    </xf>
    <xf numFmtId="0" fontId="69" fillId="11" borderId="32" xfId="0" applyFont="1" applyFill="1" applyBorder="1" applyAlignment="1" applyProtection="1">
      <alignment horizontal="center" vertical="center"/>
      <protection hidden="1"/>
    </xf>
    <xf numFmtId="0" fontId="69" fillId="11" borderId="35" xfId="0" applyFont="1" applyFill="1" applyBorder="1" applyAlignment="1" applyProtection="1">
      <alignment horizontal="center" vertical="center"/>
      <protection hidden="1"/>
    </xf>
    <xf numFmtId="0" fontId="69" fillId="11" borderId="33" xfId="0" applyFont="1" applyFill="1" applyBorder="1" applyAlignment="1" applyProtection="1">
      <alignment horizontal="center" vertical="center"/>
      <protection hidden="1"/>
    </xf>
    <xf numFmtId="0" fontId="69" fillId="11" borderId="43" xfId="0" applyFont="1" applyFill="1" applyBorder="1" applyAlignment="1" applyProtection="1">
      <alignment horizontal="center" vertical="center"/>
      <protection hidden="1"/>
    </xf>
    <xf numFmtId="0" fontId="69" fillId="11" borderId="37" xfId="0" applyFont="1" applyFill="1" applyBorder="1" applyAlignment="1" applyProtection="1">
      <alignment horizontal="center" vertical="center"/>
      <protection hidden="1"/>
    </xf>
    <xf numFmtId="0" fontId="69" fillId="11" borderId="59" xfId="0" applyFont="1" applyFill="1" applyBorder="1" applyAlignment="1" applyProtection="1">
      <alignment horizontal="center" vertical="center"/>
      <protection hidden="1"/>
    </xf>
    <xf numFmtId="0" fontId="69" fillId="11" borderId="38" xfId="0" applyFont="1" applyFill="1" applyBorder="1" applyAlignment="1" applyProtection="1">
      <alignment horizontal="center" vertical="center"/>
      <protection hidden="1"/>
    </xf>
    <xf numFmtId="0" fontId="70" fillId="12" borderId="68" xfId="0" applyFont="1" applyFill="1" applyBorder="1" applyAlignment="1" applyProtection="1">
      <alignment horizontal="center" vertical="center"/>
      <protection locked="0"/>
    </xf>
    <xf numFmtId="0" fontId="70" fillId="12" borderId="48" xfId="0" applyFont="1" applyFill="1" applyBorder="1" applyAlignment="1" applyProtection="1">
      <alignment horizontal="center" vertical="center"/>
      <protection locked="0"/>
    </xf>
    <xf numFmtId="0" fontId="70" fillId="12" borderId="62" xfId="0" applyFont="1" applyFill="1" applyBorder="1" applyAlignment="1" applyProtection="1">
      <alignment horizontal="center" vertical="center"/>
      <protection locked="0"/>
    </xf>
    <xf numFmtId="0" fontId="70" fillId="12" borderId="18" xfId="0" applyFont="1" applyFill="1" applyBorder="1" applyAlignment="1" applyProtection="1">
      <alignment horizontal="center" vertical="center"/>
      <protection locked="0"/>
    </xf>
    <xf numFmtId="0" fontId="70" fillId="12" borderId="16" xfId="0" applyFont="1" applyFill="1" applyBorder="1" applyAlignment="1" applyProtection="1">
      <alignment horizontal="center" vertical="center"/>
      <protection locked="0"/>
    </xf>
    <xf numFmtId="0" fontId="70" fillId="12" borderId="20" xfId="0" applyFont="1" applyFill="1" applyBorder="1" applyAlignment="1" applyProtection="1">
      <alignment horizontal="center" vertical="center"/>
      <protection locked="0"/>
    </xf>
    <xf numFmtId="0" fontId="80" fillId="11" borderId="9" xfId="0" applyFont="1" applyFill="1" applyBorder="1" applyAlignment="1" applyProtection="1">
      <alignment vertical="center"/>
      <protection hidden="1"/>
    </xf>
    <xf numFmtId="0" fontId="70" fillId="11" borderId="11" xfId="0" applyFont="1" applyFill="1" applyBorder="1" applyAlignment="1" applyProtection="1">
      <alignment vertical="center"/>
      <protection hidden="1"/>
    </xf>
    <xf numFmtId="1" fontId="69" fillId="11" borderId="32" xfId="0" applyNumberFormat="1" applyFont="1" applyFill="1" applyBorder="1" applyAlignment="1" applyProtection="1">
      <alignment horizontal="center" vertical="center"/>
      <protection hidden="1"/>
    </xf>
    <xf numFmtId="1" fontId="71" fillId="11" borderId="35" xfId="0" applyNumberFormat="1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81" fillId="12" borderId="23" xfId="0" applyFont="1" applyFill="1" applyBorder="1" applyAlignment="1" applyProtection="1">
      <alignment vertical="center"/>
      <protection locked="0" hidden="1"/>
    </xf>
    <xf numFmtId="0" fontId="81" fillId="12" borderId="17" xfId="0" applyFont="1" applyFill="1" applyBorder="1" applyAlignment="1" applyProtection="1">
      <alignment vertical="center"/>
      <protection locked="0" hidden="1"/>
    </xf>
    <xf numFmtId="0" fontId="81" fillId="12" borderId="19" xfId="0" applyFont="1" applyFill="1" applyBorder="1" applyAlignment="1" applyProtection="1">
      <alignment vertical="center"/>
      <protection locked="0" hidden="1"/>
    </xf>
    <xf numFmtId="171" fontId="80" fillId="0" borderId="13" xfId="2" applyNumberFormat="1" applyFont="1" applyFill="1" applyBorder="1" applyAlignment="1" applyProtection="1">
      <alignment horizontal="center" vertical="center"/>
      <protection hidden="1"/>
    </xf>
    <xf numFmtId="171" fontId="80" fillId="0" borderId="26" xfId="2" applyNumberFormat="1" applyFont="1" applyFill="1" applyBorder="1" applyAlignment="1" applyProtection="1">
      <alignment horizontal="center" vertical="center"/>
      <protection hidden="1"/>
    </xf>
    <xf numFmtId="171" fontId="80" fillId="11" borderId="32" xfId="2" applyNumberFormat="1" applyFont="1" applyFill="1" applyBorder="1" applyAlignment="1" applyProtection="1">
      <alignment horizontal="center" vertical="center"/>
      <protection hidden="1"/>
    </xf>
    <xf numFmtId="171" fontId="80" fillId="11" borderId="33" xfId="2" applyNumberFormat="1" applyFont="1" applyFill="1" applyBorder="1" applyAlignment="1" applyProtection="1">
      <alignment horizontal="center" vertical="center"/>
      <protection hidden="1"/>
    </xf>
    <xf numFmtId="171" fontId="80" fillId="18" borderId="13" xfId="2" applyNumberFormat="1" applyFont="1" applyFill="1" applyBorder="1" applyAlignment="1" applyProtection="1">
      <alignment horizontal="center" vertical="center"/>
      <protection hidden="1"/>
    </xf>
    <xf numFmtId="171" fontId="80" fillId="18" borderId="49" xfId="2" applyNumberFormat="1" applyFont="1" applyFill="1" applyBorder="1" applyAlignment="1" applyProtection="1">
      <alignment horizontal="center" vertical="center"/>
      <protection hidden="1"/>
    </xf>
    <xf numFmtId="171" fontId="80" fillId="18" borderId="26" xfId="2" applyNumberFormat="1" applyFont="1" applyFill="1" applyBorder="1" applyAlignment="1" applyProtection="1">
      <alignment horizontal="center" vertical="center"/>
      <protection hidden="1"/>
    </xf>
    <xf numFmtId="171" fontId="81" fillId="12" borderId="32" xfId="2" applyNumberFormat="1" applyFont="1" applyFill="1" applyBorder="1" applyAlignment="1" applyProtection="1">
      <alignment horizontal="center" vertical="center"/>
      <protection locked="0" hidden="1"/>
    </xf>
    <xf numFmtId="0" fontId="77" fillId="12" borderId="35" xfId="0" applyFont="1" applyFill="1" applyBorder="1" applyAlignment="1" applyProtection="1">
      <alignment horizontal="center" vertical="center"/>
      <protection locked="0" hidden="1"/>
    </xf>
    <xf numFmtId="171" fontId="81" fillId="12" borderId="43" xfId="2" applyNumberFormat="1" applyFont="1" applyFill="1" applyBorder="1" applyAlignment="1" applyProtection="1">
      <alignment horizontal="center" vertical="center"/>
      <protection locked="0" hidden="1"/>
    </xf>
    <xf numFmtId="0" fontId="77" fillId="12" borderId="37" xfId="0" applyFont="1" applyFill="1" applyBorder="1" applyAlignment="1" applyProtection="1">
      <alignment horizontal="center" vertical="center"/>
      <protection locked="0" hidden="1"/>
    </xf>
    <xf numFmtId="0" fontId="80" fillId="11" borderId="9" xfId="0" applyFont="1" applyFill="1" applyBorder="1" applyAlignment="1" applyProtection="1">
      <alignment horizontal="left" vertical="center" wrapText="1"/>
      <protection hidden="1"/>
    </xf>
    <xf numFmtId="0" fontId="80" fillId="11" borderId="10" xfId="0" applyFont="1" applyFill="1" applyBorder="1" applyAlignment="1" applyProtection="1">
      <alignment horizontal="left" vertical="center" wrapText="1"/>
      <protection hidden="1"/>
    </xf>
    <xf numFmtId="0" fontId="80" fillId="11" borderId="11" xfId="0" applyFont="1" applyFill="1" applyBorder="1" applyAlignment="1" applyProtection="1">
      <alignment horizontal="left" vertical="center" wrapText="1"/>
      <protection hidden="1"/>
    </xf>
    <xf numFmtId="0" fontId="86" fillId="12" borderId="39" xfId="0" applyFont="1" applyFill="1" applyBorder="1" applyAlignment="1" applyProtection="1">
      <alignment horizontal="center" vertical="center" textRotation="90" wrapText="1"/>
      <protection hidden="1"/>
    </xf>
    <xf numFmtId="0" fontId="86" fillId="12" borderId="41" xfId="0" applyFont="1" applyFill="1" applyBorder="1" applyAlignment="1" applyProtection="1">
      <alignment horizontal="center" vertical="center" textRotation="90" wrapText="1"/>
      <protection hidden="1"/>
    </xf>
    <xf numFmtId="0" fontId="72" fillId="11" borderId="39" xfId="0" applyFont="1" applyFill="1" applyBorder="1" applyAlignment="1" applyProtection="1">
      <alignment horizontal="center" vertical="center" textRotation="90" wrapText="1"/>
      <protection hidden="1"/>
    </xf>
    <xf numFmtId="0" fontId="87" fillId="11" borderId="41" xfId="0" applyFont="1" applyFill="1" applyBorder="1" applyAlignment="1" applyProtection="1">
      <alignment horizontal="center" vertical="center" textRotation="90" wrapText="1"/>
      <protection hidden="1"/>
    </xf>
    <xf numFmtId="4" fontId="74" fillId="13" borderId="3" xfId="2" applyNumberFormat="1" applyFont="1" applyFill="1" applyBorder="1" applyAlignment="1" applyProtection="1">
      <alignment horizontal="center" vertical="center" wrapText="1"/>
      <protection hidden="1"/>
    </xf>
    <xf numFmtId="0" fontId="85" fillId="13" borderId="4" xfId="0" applyFont="1" applyFill="1" applyBorder="1" applyAlignment="1" applyProtection="1">
      <alignment horizontal="center" vertical="center" wrapText="1"/>
      <protection hidden="1"/>
    </xf>
    <xf numFmtId="0" fontId="85" fillId="13" borderId="5" xfId="0" applyFont="1" applyFill="1" applyBorder="1" applyAlignment="1" applyProtection="1">
      <alignment horizontal="center" vertical="center" wrapText="1"/>
      <protection hidden="1"/>
    </xf>
    <xf numFmtId="0" fontId="85" fillId="13" borderId="6" xfId="0" applyFont="1" applyFill="1" applyBorder="1" applyAlignment="1" applyProtection="1">
      <alignment horizontal="center" vertical="center" wrapText="1"/>
      <protection hidden="1"/>
    </xf>
    <xf numFmtId="0" fontId="85" fillId="13" borderId="0" xfId="0" applyFont="1" applyFill="1" applyBorder="1" applyAlignment="1" applyProtection="1">
      <alignment horizontal="center" vertical="center" wrapText="1"/>
      <protection hidden="1"/>
    </xf>
    <xf numFmtId="0" fontId="85" fillId="13" borderId="1" xfId="0" applyFont="1" applyFill="1" applyBorder="1" applyAlignment="1" applyProtection="1">
      <alignment horizontal="center" vertical="center" wrapText="1"/>
      <protection hidden="1"/>
    </xf>
    <xf numFmtId="0" fontId="70" fillId="13" borderId="8" xfId="0" applyFont="1" applyFill="1" applyBorder="1" applyAlignment="1" applyProtection="1">
      <alignment horizontal="center" vertical="center"/>
      <protection hidden="1"/>
    </xf>
    <xf numFmtId="0" fontId="70" fillId="13" borderId="2" xfId="0" applyFont="1" applyFill="1" applyBorder="1" applyAlignment="1" applyProtection="1">
      <alignment horizontal="center" vertical="center"/>
      <protection hidden="1"/>
    </xf>
    <xf numFmtId="0" fontId="70" fillId="13" borderId="7" xfId="0" applyFont="1" applyFill="1" applyBorder="1" applyAlignment="1" applyProtection="1">
      <alignment horizontal="center" vertical="center"/>
      <protection hidden="1"/>
    </xf>
    <xf numFmtId="171" fontId="81" fillId="33" borderId="32" xfId="2" applyNumberFormat="1" applyFont="1" applyFill="1" applyBorder="1" applyAlignment="1" applyProtection="1">
      <alignment horizontal="center" vertical="center"/>
      <protection locked="0" hidden="1"/>
    </xf>
    <xf numFmtId="0" fontId="77" fillId="33" borderId="35" xfId="0" applyFont="1" applyFill="1" applyBorder="1" applyAlignment="1" applyProtection="1">
      <alignment horizontal="center" vertical="center"/>
      <protection locked="0" hidden="1"/>
    </xf>
    <xf numFmtId="4" fontId="74" fillId="13" borderId="3" xfId="0" applyNumberFormat="1" applyFont="1" applyFill="1" applyBorder="1" applyAlignment="1" applyProtection="1">
      <alignment horizontal="center" vertical="center" wrapText="1"/>
      <protection hidden="1"/>
    </xf>
    <xf numFmtId="4" fontId="74" fillId="13" borderId="4" xfId="0" applyNumberFormat="1" applyFont="1" applyFill="1" applyBorder="1" applyAlignment="1" applyProtection="1">
      <alignment horizontal="center" vertical="center" wrapText="1"/>
      <protection hidden="1"/>
    </xf>
    <xf numFmtId="4" fontId="74" fillId="13" borderId="5" xfId="0" applyNumberFormat="1" applyFont="1" applyFill="1" applyBorder="1" applyAlignment="1" applyProtection="1">
      <alignment horizontal="center" vertical="center" wrapText="1"/>
      <protection hidden="1"/>
    </xf>
    <xf numFmtId="4" fontId="74" fillId="13" borderId="8" xfId="0" applyNumberFormat="1" applyFont="1" applyFill="1" applyBorder="1" applyAlignment="1" applyProtection="1">
      <alignment horizontal="center" vertical="center" wrapText="1"/>
      <protection hidden="1"/>
    </xf>
    <xf numFmtId="4" fontId="74" fillId="13" borderId="2" xfId="0" applyNumberFormat="1" applyFont="1" applyFill="1" applyBorder="1" applyAlignment="1" applyProtection="1">
      <alignment horizontal="center" vertical="center" wrapText="1"/>
      <protection hidden="1"/>
    </xf>
    <xf numFmtId="4" fontId="74" fillId="13" borderId="7" xfId="0" applyNumberFormat="1" applyFont="1" applyFill="1" applyBorder="1" applyAlignment="1" applyProtection="1">
      <alignment horizontal="center" vertical="center" wrapText="1"/>
      <protection hidden="1"/>
    </xf>
    <xf numFmtId="170" fontId="90" fillId="11" borderId="12" xfId="2" applyNumberFormat="1" applyFont="1" applyFill="1" applyBorder="1" applyAlignment="1" applyProtection="1">
      <alignment horizontal="center" vertical="center"/>
      <protection hidden="1"/>
    </xf>
    <xf numFmtId="0" fontId="69" fillId="11" borderId="12" xfId="0" applyFont="1" applyFill="1" applyBorder="1" applyAlignment="1" applyProtection="1">
      <alignment horizontal="center" vertical="center"/>
      <protection hidden="1"/>
    </xf>
    <xf numFmtId="170" fontId="80" fillId="11" borderId="12" xfId="2" applyNumberFormat="1" applyFont="1" applyFill="1" applyBorder="1" applyAlignment="1" applyProtection="1">
      <alignment horizontal="center" vertical="center"/>
      <protection hidden="1"/>
    </xf>
    <xf numFmtId="43" fontId="81" fillId="12" borderId="12" xfId="2" applyFont="1" applyFill="1" applyBorder="1" applyAlignment="1" applyProtection="1">
      <alignment horizontal="center" vertical="center"/>
      <protection locked="0" hidden="1"/>
    </xf>
    <xf numFmtId="170" fontId="81" fillId="12" borderId="13" xfId="2" applyNumberFormat="1" applyFont="1" applyFill="1" applyBorder="1" applyAlignment="1" applyProtection="1">
      <alignment horizontal="center" vertical="center"/>
      <protection locked="0" hidden="1"/>
    </xf>
    <xf numFmtId="170" fontId="81" fillId="12" borderId="49" xfId="2" applyNumberFormat="1" applyFont="1" applyFill="1" applyBorder="1" applyAlignment="1" applyProtection="1">
      <alignment horizontal="center" vertical="center"/>
      <protection locked="0" hidden="1"/>
    </xf>
    <xf numFmtId="170" fontId="81" fillId="12" borderId="26" xfId="2" applyNumberFormat="1" applyFont="1" applyFill="1" applyBorder="1" applyAlignment="1" applyProtection="1">
      <alignment horizontal="center" vertical="center"/>
      <protection locked="0" hidden="1"/>
    </xf>
    <xf numFmtId="43" fontId="80" fillId="11" borderId="12" xfId="2" applyFont="1" applyFill="1" applyBorder="1" applyAlignment="1" applyProtection="1">
      <alignment horizontal="center" vertical="center"/>
      <protection hidden="1"/>
    </xf>
    <xf numFmtId="3" fontId="81" fillId="12" borderId="13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49" xfId="2" applyNumberFormat="1" applyFont="1" applyFill="1" applyBorder="1" applyAlignment="1" applyProtection="1">
      <alignment horizontal="center" vertical="center"/>
      <protection locked="0" hidden="1"/>
    </xf>
    <xf numFmtId="3" fontId="81" fillId="12" borderId="26" xfId="2" applyNumberFormat="1" applyFont="1" applyFill="1" applyBorder="1" applyAlignment="1" applyProtection="1">
      <alignment horizontal="center" vertical="center"/>
      <protection locked="0" hidden="1"/>
    </xf>
    <xf numFmtId="49" fontId="69" fillId="2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0" fillId="11" borderId="12" xfId="0" applyFont="1" applyFill="1" applyBorder="1" applyAlignment="1" applyProtection="1">
      <alignment vertical="center" wrapText="1"/>
      <protection locked="0" hidden="1"/>
    </xf>
    <xf numFmtId="0" fontId="70" fillId="0" borderId="12" xfId="0" applyFont="1" applyBorder="1" applyAlignment="1" applyProtection="1">
      <alignment vertical="center" wrapText="1"/>
      <protection locked="0" hidden="1"/>
    </xf>
    <xf numFmtId="42" fontId="67" fillId="22" borderId="20" xfId="13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42" fontId="67" fillId="22" borderId="18" xfId="13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4" fillId="22" borderId="3" xfId="12" applyFont="1" applyFill="1" applyBorder="1" applyAlignment="1">
      <alignment horizontal="center" vertical="center" wrapText="1"/>
    </xf>
    <xf numFmtId="0" fontId="64" fillId="0" borderId="5" xfId="12" applyFont="1" applyBorder="1" applyAlignment="1">
      <alignment horizontal="center" vertical="center" wrapText="1"/>
    </xf>
    <xf numFmtId="0" fontId="63" fillId="22" borderId="72" xfId="12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2" fillId="22" borderId="18" xfId="12" applyFont="1" applyFill="1" applyBorder="1" applyAlignment="1">
      <alignment horizontal="center" vertical="center" wrapText="1"/>
    </xf>
    <xf numFmtId="0" fontId="0" fillId="22" borderId="16" xfId="0" applyFill="1" applyBorder="1" applyAlignment="1">
      <alignment horizontal="center" vertical="center" wrapText="1"/>
    </xf>
    <xf numFmtId="0" fontId="2" fillId="22" borderId="21" xfId="12" applyFont="1" applyFill="1" applyBorder="1" applyAlignment="1">
      <alignment horizontal="center" vertical="center" wrapText="1"/>
    </xf>
    <xf numFmtId="0" fontId="0" fillId="22" borderId="12" xfId="0" applyFill="1" applyBorder="1" applyAlignment="1">
      <alignment horizontal="center" vertical="center" wrapText="1"/>
    </xf>
    <xf numFmtId="0" fontId="2" fillId="22" borderId="23" xfId="12" applyFont="1" applyFill="1" applyBorder="1" applyAlignment="1">
      <alignment horizontal="center" vertical="center" wrapText="1"/>
    </xf>
    <xf numFmtId="0" fontId="0" fillId="22" borderId="17" xfId="0" applyFill="1" applyBorder="1" applyAlignment="1">
      <alignment horizontal="center" vertical="center" wrapText="1"/>
    </xf>
    <xf numFmtId="0" fontId="63" fillId="22" borderId="68" xfId="12" applyFont="1" applyFill="1" applyBorder="1" applyAlignment="1">
      <alignment horizontal="center" vertical="center" textRotation="90" wrapText="1"/>
    </xf>
    <xf numFmtId="0" fontId="63" fillId="22" borderId="73" xfId="12" applyFont="1" applyFill="1" applyBorder="1" applyAlignment="1">
      <alignment horizontal="center" vertical="center" textRotation="90" wrapText="1"/>
    </xf>
    <xf numFmtId="0" fontId="63" fillId="22" borderId="64" xfId="12" applyFont="1" applyFill="1" applyBorder="1" applyAlignment="1">
      <alignment horizontal="center" vertical="center" textRotation="90" wrapText="1"/>
    </xf>
    <xf numFmtId="0" fontId="2" fillId="22" borderId="16" xfId="12" applyFill="1" applyBorder="1" applyAlignment="1">
      <alignment horizontal="center" vertical="center" wrapText="1"/>
    </xf>
    <xf numFmtId="0" fontId="2" fillId="22" borderId="12" xfId="12" applyFill="1" applyBorder="1" applyAlignment="1">
      <alignment horizontal="center" vertical="center" wrapText="1"/>
    </xf>
    <xf numFmtId="0" fontId="2" fillId="22" borderId="17" xfId="12" applyFill="1" applyBorder="1" applyAlignment="1">
      <alignment horizontal="center" vertical="center" wrapText="1"/>
    </xf>
    <xf numFmtId="3" fontId="2" fillId="22" borderId="16" xfId="12" applyNumberFormat="1" applyFont="1" applyFill="1" applyBorder="1" applyAlignment="1">
      <alignment horizontal="center" vertical="center" wrapText="1"/>
    </xf>
    <xf numFmtId="3" fontId="2" fillId="22" borderId="12" xfId="12" applyNumberFormat="1" applyFont="1" applyFill="1" applyBorder="1" applyAlignment="1">
      <alignment horizontal="center" vertical="center" wrapText="1"/>
    </xf>
    <xf numFmtId="3" fontId="2" fillId="22" borderId="17" xfId="12" applyNumberFormat="1" applyFont="1" applyFill="1" applyBorder="1" applyAlignment="1">
      <alignment horizontal="center" vertical="center" wrapText="1"/>
    </xf>
    <xf numFmtId="42" fontId="67" fillId="22" borderId="16" xfId="13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3" fillId="22" borderId="39" xfId="12" applyFont="1" applyFill="1" applyBorder="1" applyAlignment="1">
      <alignment horizontal="center" vertical="center" textRotation="90" wrapText="1"/>
    </xf>
    <xf numFmtId="0" fontId="63" fillId="22" borderId="40" xfId="12" applyFont="1" applyFill="1" applyBorder="1" applyAlignment="1">
      <alignment horizontal="center" vertical="center" textRotation="90" wrapText="1"/>
    </xf>
    <xf numFmtId="0" fontId="63" fillId="22" borderId="42" xfId="12" applyFont="1" applyFill="1" applyBorder="1" applyAlignment="1">
      <alignment horizontal="center" vertical="center" textRotation="90" wrapText="1"/>
    </xf>
    <xf numFmtId="0" fontId="63" fillId="22" borderId="69" xfId="12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" fillId="22" borderId="12" xfId="12" applyFont="1" applyFill="1" applyBorder="1" applyAlignment="1">
      <alignment horizontal="center" vertical="center" wrapText="1"/>
    </xf>
    <xf numFmtId="183" fontId="67" fillId="22" borderId="12" xfId="13" applyNumberFormat="1" applyFont="1" applyFill="1" applyBorder="1" applyAlignment="1">
      <alignment horizontal="center" vertical="center" wrapText="1"/>
    </xf>
    <xf numFmtId="0" fontId="2" fillId="22" borderId="22" xfId="12" applyFont="1" applyFill="1" applyBorder="1" applyAlignment="1">
      <alignment horizontal="center" vertical="center" wrapText="1"/>
    </xf>
    <xf numFmtId="0" fontId="64" fillId="22" borderId="68" xfId="12" applyFont="1" applyFill="1" applyBorder="1" applyAlignment="1">
      <alignment horizontal="center" vertical="center" wrapText="1"/>
    </xf>
    <xf numFmtId="0" fontId="2" fillId="0" borderId="48" xfId="12" applyBorder="1" applyAlignment="1">
      <alignment horizontal="center" vertical="center" wrapText="1"/>
    </xf>
    <xf numFmtId="0" fontId="2" fillId="0" borderId="62" xfId="12" applyBorder="1" applyAlignment="1">
      <alignment horizontal="center" vertical="center" wrapText="1"/>
    </xf>
    <xf numFmtId="0" fontId="64" fillId="22" borderId="18" xfId="12" applyFont="1" applyFill="1" applyBorder="1" applyAlignment="1">
      <alignment horizontal="center" vertical="center" wrapText="1"/>
    </xf>
    <xf numFmtId="0" fontId="64" fillId="22" borderId="20" xfId="12" applyFont="1" applyFill="1" applyBorder="1" applyAlignment="1">
      <alignment horizontal="center" vertical="center" wrapText="1"/>
    </xf>
    <xf numFmtId="0" fontId="64" fillId="22" borderId="43" xfId="12" applyFont="1" applyFill="1" applyBorder="1" applyAlignment="1">
      <alignment horizontal="center" vertical="center" wrapText="1"/>
    </xf>
    <xf numFmtId="0" fontId="64" fillId="22" borderId="37" xfId="12" applyFont="1" applyFill="1" applyBorder="1" applyAlignment="1">
      <alignment horizontal="center" vertical="center" wrapText="1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68" fillId="22" borderId="43" xfId="12" applyFont="1" applyFill="1" applyBorder="1" applyAlignment="1">
      <alignment horizontal="center" vertical="center" wrapText="1"/>
    </xf>
    <xf numFmtId="0" fontId="4" fillId="0" borderId="38" xfId="0" applyFont="1" applyBorder="1" applyAlignment="1">
      <alignment wrapText="1"/>
    </xf>
    <xf numFmtId="0" fontId="13" fillId="0" borderId="38" xfId="0" applyFont="1" applyBorder="1" applyAlignment="1">
      <alignment horizontal="center" vertical="center" wrapText="1"/>
    </xf>
    <xf numFmtId="0" fontId="2" fillId="22" borderId="17" xfId="12" applyFont="1" applyFill="1" applyBorder="1" applyAlignment="1">
      <alignment horizontal="center" vertical="center" wrapText="1"/>
    </xf>
    <xf numFmtId="183" fontId="67" fillId="22" borderId="17" xfId="13" applyNumberFormat="1" applyFont="1" applyFill="1" applyBorder="1" applyAlignment="1">
      <alignment horizontal="center" vertical="center" wrapText="1"/>
    </xf>
    <xf numFmtId="0" fontId="2" fillId="22" borderId="19" xfId="12" applyFont="1" applyFill="1" applyBorder="1" applyAlignment="1">
      <alignment horizontal="center" vertical="center" wrapText="1"/>
    </xf>
    <xf numFmtId="0" fontId="63" fillId="22" borderId="18" xfId="12" applyFont="1" applyFill="1" applyBorder="1" applyAlignment="1">
      <alignment horizontal="center" vertical="center" wrapText="1"/>
    </xf>
    <xf numFmtId="0" fontId="63" fillId="22" borderId="21" xfId="12" applyFont="1" applyFill="1" applyBorder="1" applyAlignment="1">
      <alignment horizontal="center" vertical="center" wrapText="1"/>
    </xf>
    <xf numFmtId="0" fontId="63" fillId="22" borderId="23" xfId="12" applyFont="1" applyFill="1" applyBorder="1" applyAlignment="1">
      <alignment horizontal="center" vertical="center" wrapText="1"/>
    </xf>
    <xf numFmtId="0" fontId="64" fillId="22" borderId="75" xfId="12" applyFont="1" applyFill="1" applyBorder="1" applyAlignment="1">
      <alignment horizontal="center" vertical="center" wrapText="1"/>
    </xf>
    <xf numFmtId="0" fontId="64" fillId="22" borderId="76" xfId="12" applyFont="1" applyFill="1" applyBorder="1" applyAlignment="1">
      <alignment horizontal="center" vertical="center" wrapText="1"/>
    </xf>
    <xf numFmtId="0" fontId="68" fillId="22" borderId="60" xfId="12" applyFont="1" applyFill="1" applyBorder="1" applyAlignment="1">
      <alignment horizontal="center" vertical="center" wrapText="1"/>
    </xf>
    <xf numFmtId="0" fontId="13" fillId="0" borderId="78" xfId="0" applyFont="1" applyBorder="1" applyAlignment="1">
      <alignment horizontal="center" vertical="center" wrapText="1"/>
    </xf>
    <xf numFmtId="0" fontId="0" fillId="0" borderId="78" xfId="0" applyBorder="1" applyAlignment="1">
      <alignment wrapText="1"/>
    </xf>
    <xf numFmtId="0" fontId="0" fillId="0" borderId="58" xfId="0" applyBorder="1" applyAlignment="1">
      <alignment wrapText="1"/>
    </xf>
    <xf numFmtId="0" fontId="2" fillId="22" borderId="27" xfId="12" applyFont="1" applyFill="1" applyBorder="1" applyAlignment="1">
      <alignment horizontal="center" vertical="center" wrapText="1"/>
    </xf>
    <xf numFmtId="0" fontId="2" fillId="22" borderId="15" xfId="12" applyFont="1" applyFill="1" applyBorder="1" applyAlignment="1">
      <alignment horizontal="center" vertical="center" wrapText="1"/>
    </xf>
    <xf numFmtId="183" fontId="67" fillId="22" borderId="15" xfId="13" applyNumberFormat="1" applyFont="1" applyFill="1" applyBorder="1" applyAlignment="1">
      <alignment horizontal="center" vertical="center" wrapText="1"/>
    </xf>
    <xf numFmtId="0" fontId="2" fillId="22" borderId="28" xfId="12" applyFont="1" applyFill="1" applyBorder="1" applyAlignment="1">
      <alignment horizontal="center" vertical="center" wrapText="1"/>
    </xf>
    <xf numFmtId="0" fontId="2" fillId="22" borderId="75" xfId="12" applyFont="1" applyFill="1" applyBorder="1" applyAlignment="1">
      <alignment horizontal="center" vertical="center" wrapText="1"/>
    </xf>
    <xf numFmtId="0" fontId="2" fillId="22" borderId="76" xfId="12" applyFont="1" applyFill="1" applyBorder="1" applyAlignment="1">
      <alignment horizontal="center" vertical="center" wrapText="1"/>
    </xf>
    <xf numFmtId="0" fontId="2" fillId="22" borderId="77" xfId="12" applyFont="1" applyFill="1" applyBorder="1" applyAlignment="1">
      <alignment horizontal="center" vertical="center" wrapText="1"/>
    </xf>
    <xf numFmtId="0" fontId="1" fillId="22" borderId="75" xfId="12" applyFont="1" applyFill="1" applyBorder="1" applyAlignment="1">
      <alignment horizontal="center" vertical="center" wrapText="1"/>
    </xf>
    <xf numFmtId="0" fontId="1" fillId="22" borderId="8" xfId="12" applyFont="1" applyFill="1" applyBorder="1" applyAlignment="1">
      <alignment horizontal="center" vertical="center" wrapText="1"/>
    </xf>
    <xf numFmtId="0" fontId="2" fillId="22" borderId="2" xfId="12" applyFont="1" applyFill="1" applyBorder="1" applyAlignment="1">
      <alignment horizontal="center" vertical="center" wrapText="1"/>
    </xf>
    <xf numFmtId="0" fontId="2" fillId="22" borderId="7" xfId="12" applyFont="1" applyFill="1" applyBorder="1" applyAlignment="1">
      <alignment horizontal="center" vertical="center" wrapText="1"/>
    </xf>
    <xf numFmtId="0" fontId="41" fillId="16" borderId="0" xfId="0" applyFont="1" applyFill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41" fillId="17" borderId="0" xfId="0" applyFont="1" applyFill="1" applyAlignment="1" applyProtection="1">
      <alignment horizontal="center" vertical="center"/>
      <protection hidden="1"/>
    </xf>
    <xf numFmtId="164" fontId="80" fillId="11" borderId="3" xfId="1" applyFont="1" applyFill="1" applyBorder="1" applyAlignment="1" applyProtection="1">
      <alignment horizontal="center" vertical="center"/>
      <protection hidden="1"/>
    </xf>
    <xf numFmtId="0" fontId="70" fillId="0" borderId="4" xfId="0" applyFont="1" applyBorder="1" applyAlignment="1">
      <alignment horizontal="center" vertical="center"/>
    </xf>
    <xf numFmtId="0" fontId="70" fillId="0" borderId="5" xfId="0" applyFont="1" applyBorder="1" applyAlignment="1">
      <alignment horizontal="center" vertical="center"/>
    </xf>
    <xf numFmtId="0" fontId="70" fillId="0" borderId="6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70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164" fontId="90" fillId="11" borderId="32" xfId="1" applyFont="1" applyFill="1" applyBorder="1" applyAlignment="1" applyProtection="1">
      <alignment horizontal="center" vertical="center"/>
      <protection hidden="1"/>
    </xf>
    <xf numFmtId="0" fontId="70" fillId="0" borderId="35" xfId="0" applyFont="1" applyBorder="1" applyAlignment="1">
      <alignment horizontal="center" vertical="center"/>
    </xf>
    <xf numFmtId="0" fontId="70" fillId="0" borderId="36" xfId="0" applyFont="1" applyBorder="1" applyAlignment="1">
      <alignment horizontal="center" vertical="center"/>
    </xf>
    <xf numFmtId="0" fontId="80" fillId="11" borderId="21" xfId="0" applyFont="1" applyFill="1" applyBorder="1" applyAlignment="1" applyProtection="1">
      <alignment horizontal="left" vertical="center"/>
      <protection hidden="1"/>
    </xf>
    <xf numFmtId="180" fontId="99" fillId="23" borderId="13" xfId="2" applyNumberFormat="1" applyFont="1" applyFill="1" applyBorder="1" applyAlignment="1" applyProtection="1">
      <alignment horizontal="center" vertical="center"/>
      <protection hidden="1"/>
    </xf>
    <xf numFmtId="180" fontId="99" fillId="23" borderId="50" xfId="2" applyNumberFormat="1" applyFont="1" applyFill="1" applyBorder="1" applyAlignment="1" applyProtection="1">
      <alignment horizontal="center" vertical="center"/>
      <protection hidden="1"/>
    </xf>
    <xf numFmtId="165" fontId="97" fillId="11" borderId="32" xfId="1" applyNumberFormat="1" applyFont="1" applyFill="1" applyBorder="1" applyAlignment="1" applyProtection="1">
      <alignment horizontal="center" vertical="center"/>
      <protection hidden="1"/>
    </xf>
    <xf numFmtId="165" fontId="70" fillId="0" borderId="35" xfId="0" applyNumberFormat="1" applyFont="1" applyBorder="1" applyAlignment="1">
      <alignment horizontal="center" vertical="center"/>
    </xf>
    <xf numFmtId="165" fontId="70" fillId="0" borderId="33" xfId="0" applyNumberFormat="1" applyFont="1" applyBorder="1" applyAlignment="1">
      <alignment horizontal="center" vertical="center"/>
    </xf>
    <xf numFmtId="165" fontId="97" fillId="11" borderId="32" xfId="0" applyNumberFormat="1" applyFont="1" applyFill="1" applyBorder="1" applyAlignment="1" applyProtection="1">
      <alignment horizontal="center" vertical="center"/>
      <protection hidden="1"/>
    </xf>
    <xf numFmtId="4" fontId="98" fillId="11" borderId="32" xfId="2" applyNumberFormat="1" applyFont="1" applyFill="1" applyBorder="1" applyAlignment="1" applyProtection="1">
      <alignment horizontal="center" vertical="center"/>
      <protection hidden="1"/>
    </xf>
    <xf numFmtId="4" fontId="98" fillId="11" borderId="33" xfId="2" applyNumberFormat="1" applyFont="1" applyFill="1" applyBorder="1" applyAlignment="1" applyProtection="1">
      <alignment horizontal="center" vertical="center"/>
      <protection hidden="1"/>
    </xf>
    <xf numFmtId="3" fontId="89" fillId="11" borderId="32" xfId="0" applyNumberFormat="1" applyFont="1" applyFill="1" applyBorder="1" applyAlignment="1" applyProtection="1">
      <alignment horizontal="center" vertical="center"/>
      <protection hidden="1"/>
    </xf>
    <xf numFmtId="0" fontId="89" fillId="11" borderId="33" xfId="0" applyFont="1" applyFill="1" applyBorder="1" applyAlignment="1" applyProtection="1">
      <alignment horizontal="center" vertical="center"/>
      <protection hidden="1"/>
    </xf>
    <xf numFmtId="0" fontId="80" fillId="11" borderId="14" xfId="0" applyFont="1" applyFill="1" applyBorder="1" applyAlignment="1" applyProtection="1">
      <alignment horizontal="center" vertical="center"/>
      <protection hidden="1"/>
    </xf>
    <xf numFmtId="0" fontId="70" fillId="2" borderId="15" xfId="0" applyFont="1" applyFill="1" applyBorder="1" applyAlignment="1" applyProtection="1">
      <alignment horizontal="center" vertical="center"/>
      <protection hidden="1"/>
    </xf>
    <xf numFmtId="3" fontId="89" fillId="22" borderId="0" xfId="0" applyNumberFormat="1" applyFont="1" applyFill="1" applyBorder="1" applyAlignment="1" applyProtection="1">
      <alignment horizontal="center" vertical="center"/>
      <protection hidden="1"/>
    </xf>
    <xf numFmtId="0" fontId="89" fillId="22" borderId="0" xfId="0" applyFont="1" applyFill="1" applyBorder="1" applyAlignment="1" applyProtection="1">
      <alignment horizontal="center" vertical="center"/>
      <protection hidden="1"/>
    </xf>
    <xf numFmtId="170" fontId="9" fillId="11" borderId="12" xfId="2" applyNumberFormat="1" applyFont="1" applyFill="1" applyBorder="1" applyAlignment="1">
      <alignment horizontal="center"/>
    </xf>
    <xf numFmtId="170" fontId="15" fillId="11" borderId="12" xfId="2" applyNumberFormat="1" applyFont="1" applyFill="1" applyBorder="1" applyAlignment="1">
      <alignment horizontal="center"/>
    </xf>
    <xf numFmtId="170" fontId="15" fillId="11" borderId="22" xfId="2" applyNumberFormat="1" applyFont="1" applyFill="1" applyBorder="1" applyAlignment="1">
      <alignment horizontal="center"/>
    </xf>
    <xf numFmtId="170" fontId="9" fillId="11" borderId="69" xfId="2" applyNumberFormat="1" applyFont="1" applyFill="1" applyBorder="1" applyAlignment="1" applyProtection="1">
      <alignment horizontal="center" vertical="center" wrapText="1"/>
      <protection hidden="1"/>
    </xf>
    <xf numFmtId="170" fontId="9" fillId="11" borderId="71" xfId="2" applyNumberFormat="1" applyFont="1" applyFill="1" applyBorder="1" applyAlignment="1" applyProtection="1">
      <alignment horizontal="center" vertical="center" wrapText="1"/>
      <protection hidden="1"/>
    </xf>
    <xf numFmtId="170" fontId="9" fillId="11" borderId="70" xfId="2" applyNumberFormat="1" applyFont="1" applyFill="1" applyBorder="1" applyAlignment="1" applyProtection="1">
      <alignment horizontal="center" vertical="center" wrapText="1"/>
      <protection hidden="1"/>
    </xf>
    <xf numFmtId="170" fontId="15" fillId="11" borderId="61" xfId="2" applyNumberFormat="1" applyFont="1" applyFill="1" applyBorder="1" applyAlignment="1">
      <alignment horizontal="center" vertical="center" wrapText="1"/>
    </xf>
    <xf numFmtId="170" fontId="15" fillId="11" borderId="45" xfId="2" applyNumberFormat="1" applyFont="1" applyFill="1" applyBorder="1" applyAlignment="1">
      <alignment horizontal="center" vertical="center" wrapText="1"/>
    </xf>
    <xf numFmtId="170" fontId="15" fillId="11" borderId="46" xfId="2" applyNumberFormat="1" applyFont="1" applyFill="1" applyBorder="1" applyAlignment="1">
      <alignment horizontal="center" vertical="center" wrapText="1"/>
    </xf>
    <xf numFmtId="0" fontId="51" fillId="2" borderId="32" xfId="0" applyFont="1" applyFill="1" applyBorder="1" applyAlignment="1">
      <alignment horizontal="center"/>
    </xf>
    <xf numFmtId="0" fontId="51" fillId="2" borderId="35" xfId="0" applyFont="1" applyFill="1" applyBorder="1" applyAlignment="1">
      <alignment horizontal="center"/>
    </xf>
    <xf numFmtId="0" fontId="51" fillId="2" borderId="33" xfId="0" applyFont="1" applyFill="1" applyBorder="1" applyAlignment="1">
      <alignment horizontal="center"/>
    </xf>
    <xf numFmtId="170" fontId="9" fillId="11" borderId="12" xfId="2" applyNumberFormat="1" applyFont="1" applyFill="1" applyBorder="1" applyAlignment="1" applyProtection="1">
      <alignment horizontal="center" vertical="center"/>
      <protection hidden="1"/>
    </xf>
    <xf numFmtId="170" fontId="9" fillId="11" borderId="22" xfId="2" applyNumberFormat="1" applyFont="1" applyFill="1" applyBorder="1" applyAlignment="1" applyProtection="1">
      <alignment horizontal="center" vertical="center"/>
      <protection hidden="1"/>
    </xf>
    <xf numFmtId="0" fontId="9" fillId="11" borderId="54" xfId="0" applyFont="1" applyFill="1" applyBorder="1" applyAlignment="1" applyProtection="1">
      <alignment horizontal="left" vertical="center"/>
      <protection hidden="1"/>
    </xf>
    <xf numFmtId="0" fontId="15" fillId="11" borderId="53" xfId="0" applyFont="1" applyFill="1" applyBorder="1" applyAlignment="1">
      <alignment horizontal="left" vertical="center"/>
    </xf>
    <xf numFmtId="2" fontId="9" fillId="11" borderId="27" xfId="2" applyNumberFormat="1" applyFont="1" applyFill="1" applyBorder="1" applyAlignment="1" applyProtection="1">
      <alignment horizontal="center" vertical="center"/>
      <protection hidden="1"/>
    </xf>
    <xf numFmtId="2" fontId="9" fillId="11" borderId="15" xfId="2" applyNumberFormat="1" applyFont="1" applyFill="1" applyBorder="1" applyAlignment="1" applyProtection="1">
      <alignment horizontal="center" vertical="center"/>
      <protection hidden="1"/>
    </xf>
    <xf numFmtId="2" fontId="9" fillId="11" borderId="15" xfId="0" applyNumberFormat="1" applyFont="1" applyFill="1" applyBorder="1" applyAlignment="1">
      <alignment vertical="center"/>
    </xf>
    <xf numFmtId="2" fontId="9" fillId="11" borderId="28" xfId="0" applyNumberFormat="1" applyFont="1" applyFill="1" applyBorder="1" applyAlignment="1">
      <alignment vertical="center"/>
    </xf>
    <xf numFmtId="2" fontId="15" fillId="11" borderId="21" xfId="0" applyNumberFormat="1" applyFont="1" applyFill="1" applyBorder="1" applyAlignment="1">
      <alignment vertical="center"/>
    </xf>
    <xf numFmtId="2" fontId="15" fillId="11" borderId="12" xfId="0" applyNumberFormat="1" applyFont="1" applyFill="1" applyBorder="1" applyAlignment="1">
      <alignment vertical="center"/>
    </xf>
    <xf numFmtId="2" fontId="15" fillId="11" borderId="22" xfId="0" applyNumberFormat="1" applyFont="1" applyFill="1" applyBorder="1" applyAlignment="1">
      <alignment vertical="center"/>
    </xf>
    <xf numFmtId="2" fontId="9" fillId="11" borderId="21" xfId="2" applyNumberFormat="1" applyFont="1" applyFill="1" applyBorder="1" applyAlignment="1" applyProtection="1">
      <alignment horizontal="center" vertical="center"/>
      <protection hidden="1"/>
    </xf>
    <xf numFmtId="2" fontId="9" fillId="11" borderId="12" xfId="2" applyNumberFormat="1" applyFont="1" applyFill="1" applyBorder="1" applyAlignment="1" applyProtection="1">
      <alignment horizontal="center" vertical="center"/>
      <protection hidden="1"/>
    </xf>
    <xf numFmtId="2" fontId="9" fillId="11" borderId="12" xfId="0" applyNumberFormat="1" applyFont="1" applyFill="1" applyBorder="1" applyAlignment="1">
      <alignment vertical="center"/>
    </xf>
    <xf numFmtId="2" fontId="9" fillId="11" borderId="22" xfId="0" applyNumberFormat="1" applyFont="1" applyFill="1" applyBorder="1" applyAlignment="1">
      <alignment vertical="center"/>
    </xf>
    <xf numFmtId="0" fontId="8" fillId="11" borderId="43" xfId="0" applyFont="1" applyFill="1" applyBorder="1" applyAlignment="1">
      <alignment horizontal="center"/>
    </xf>
    <xf numFmtId="0" fontId="8" fillId="11" borderId="37" xfId="0" applyFont="1" applyFill="1" applyBorder="1" applyAlignment="1">
      <alignment horizontal="center"/>
    </xf>
    <xf numFmtId="0" fontId="8" fillId="11" borderId="38" xfId="0" applyFont="1" applyFill="1" applyBorder="1" applyAlignment="1">
      <alignment horizontal="center"/>
    </xf>
    <xf numFmtId="0" fontId="8" fillId="11" borderId="32" xfId="0" applyFont="1" applyFill="1" applyBorder="1" applyAlignment="1">
      <alignment horizontal="center"/>
    </xf>
    <xf numFmtId="0" fontId="8" fillId="11" borderId="35" xfId="0" applyFont="1" applyFill="1" applyBorder="1" applyAlignment="1">
      <alignment horizontal="center"/>
    </xf>
    <xf numFmtId="0" fontId="8" fillId="11" borderId="33" xfId="0" applyFont="1" applyFill="1" applyBorder="1" applyAlignment="1">
      <alignment horizontal="center"/>
    </xf>
    <xf numFmtId="170" fontId="9" fillId="11" borderId="13" xfId="2" applyNumberFormat="1" applyFont="1" applyFill="1" applyBorder="1" applyAlignment="1">
      <alignment horizontal="center" wrapText="1"/>
    </xf>
    <xf numFmtId="170" fontId="15" fillId="11" borderId="49" xfId="2" applyNumberFormat="1" applyFont="1" applyFill="1" applyBorder="1" applyAlignment="1">
      <alignment horizontal="center"/>
    </xf>
    <xf numFmtId="170" fontId="15" fillId="11" borderId="50" xfId="2" applyNumberFormat="1" applyFont="1" applyFill="1" applyBorder="1" applyAlignment="1">
      <alignment horizontal="center"/>
    </xf>
    <xf numFmtId="170" fontId="9" fillId="11" borderId="16" xfId="2" applyNumberFormat="1" applyFont="1" applyFill="1" applyBorder="1" applyAlignment="1" applyProtection="1">
      <alignment horizontal="center" vertical="center"/>
      <protection hidden="1"/>
    </xf>
    <xf numFmtId="170" fontId="9" fillId="11" borderId="16" xfId="2" applyNumberFormat="1" applyFont="1" applyFill="1" applyBorder="1" applyAlignment="1">
      <alignment horizontal="center" vertical="center"/>
    </xf>
    <xf numFmtId="170" fontId="9" fillId="11" borderId="20" xfId="2" applyNumberFormat="1" applyFont="1" applyFill="1" applyBorder="1" applyAlignment="1">
      <alignment horizontal="center" vertical="center"/>
    </xf>
    <xf numFmtId="43" fontId="49" fillId="2" borderId="0" xfId="2" applyFont="1" applyFill="1" applyBorder="1" applyAlignment="1" applyProtection="1">
      <alignment horizontal="center" vertical="center"/>
      <protection hidden="1"/>
    </xf>
    <xf numFmtId="170" fontId="9" fillId="11" borderId="51" xfId="2" applyNumberFormat="1" applyFont="1" applyFill="1" applyBorder="1" applyAlignment="1" applyProtection="1">
      <alignment horizontal="center" vertical="center"/>
      <protection hidden="1"/>
    </xf>
    <xf numFmtId="170" fontId="9" fillId="11" borderId="55" xfId="2" applyNumberFormat="1" applyFont="1" applyFill="1" applyBorder="1" applyAlignment="1" applyProtection="1">
      <alignment horizontal="center" vertical="center"/>
      <protection hidden="1"/>
    </xf>
    <xf numFmtId="170" fontId="9" fillId="11" borderId="47" xfId="2" applyNumberFormat="1" applyFont="1" applyFill="1" applyBorder="1" applyAlignment="1" applyProtection="1">
      <alignment horizontal="center" vertical="center"/>
      <protection hidden="1"/>
    </xf>
    <xf numFmtId="170" fontId="9" fillId="11" borderId="63" xfId="2" applyNumberFormat="1" applyFont="1" applyFill="1" applyBorder="1" applyAlignment="1" applyProtection="1">
      <alignment horizontal="center" vertical="center"/>
      <protection hidden="1"/>
    </xf>
    <xf numFmtId="170" fontId="9" fillId="11" borderId="48" xfId="2" applyNumberFormat="1" applyFont="1" applyFill="1" applyBorder="1" applyAlignment="1" applyProtection="1">
      <alignment horizontal="center" vertical="center"/>
      <protection hidden="1"/>
    </xf>
    <xf numFmtId="170" fontId="9" fillId="11" borderId="62" xfId="2" applyNumberFormat="1" applyFont="1" applyFill="1" applyBorder="1" applyAlignment="1" applyProtection="1">
      <alignment horizontal="center" vertical="center"/>
      <protection hidden="1"/>
    </xf>
    <xf numFmtId="9" fontId="9" fillId="11" borderId="13" xfId="2" applyNumberFormat="1" applyFont="1" applyFill="1" applyBorder="1" applyAlignment="1" applyProtection="1">
      <alignment horizontal="center" vertical="center"/>
      <protection hidden="1"/>
    </xf>
    <xf numFmtId="43" fontId="9" fillId="11" borderId="49" xfId="2" applyFont="1" applyFill="1" applyBorder="1" applyAlignment="1" applyProtection="1">
      <alignment horizontal="center" vertical="center"/>
      <protection hidden="1"/>
    </xf>
    <xf numFmtId="43" fontId="9" fillId="11" borderId="50" xfId="2" applyFont="1" applyFill="1" applyBorder="1" applyAlignment="1" applyProtection="1">
      <alignment horizontal="center" vertical="center"/>
      <protection hidden="1"/>
    </xf>
    <xf numFmtId="170" fontId="9" fillId="11" borderId="13" xfId="2" applyNumberFormat="1" applyFont="1" applyFill="1" applyBorder="1" applyAlignment="1" applyProtection="1">
      <alignment horizontal="center" vertical="center"/>
      <protection hidden="1"/>
    </xf>
    <xf numFmtId="170" fontId="9" fillId="11" borderId="49" xfId="2" applyNumberFormat="1" applyFont="1" applyFill="1" applyBorder="1" applyAlignment="1" applyProtection="1">
      <alignment horizontal="center" vertical="center"/>
      <protection hidden="1"/>
    </xf>
    <xf numFmtId="170" fontId="9" fillId="11" borderId="50" xfId="2" applyNumberFormat="1" applyFont="1" applyFill="1" applyBorder="1" applyAlignment="1" applyProtection="1">
      <alignment horizontal="center" vertical="center"/>
      <protection hidden="1"/>
    </xf>
    <xf numFmtId="170" fontId="9" fillId="11" borderId="20" xfId="2" applyNumberFormat="1" applyFont="1" applyFill="1" applyBorder="1" applyAlignment="1" applyProtection="1">
      <alignment horizontal="center" vertical="center"/>
      <protection hidden="1"/>
    </xf>
    <xf numFmtId="170" fontId="45" fillId="12" borderId="49" xfId="2" applyNumberFormat="1" applyFont="1" applyFill="1" applyBorder="1" applyAlignment="1" applyProtection="1">
      <alignment horizontal="center" vertical="center"/>
      <protection locked="0" hidden="1"/>
    </xf>
    <xf numFmtId="170" fontId="45" fillId="12" borderId="49" xfId="2" applyNumberFormat="1" applyFont="1" applyFill="1" applyBorder="1" applyAlignment="1" applyProtection="1">
      <alignment horizontal="center" vertical="center"/>
      <protection locked="0"/>
    </xf>
    <xf numFmtId="0" fontId="9" fillId="11" borderId="9" xfId="0" applyFont="1" applyFill="1" applyBorder="1" applyAlignment="1" applyProtection="1">
      <alignment vertical="center" textRotation="90"/>
      <protection hidden="1"/>
    </xf>
    <xf numFmtId="0" fontId="15" fillId="0" borderId="10" xfId="0" applyFont="1" applyBorder="1" applyAlignment="1">
      <alignment textRotation="90"/>
    </xf>
    <xf numFmtId="0" fontId="15" fillId="0" borderId="11" xfId="0" applyFont="1" applyBorder="1" applyAlignment="1">
      <alignment textRotation="90"/>
    </xf>
    <xf numFmtId="0" fontId="9" fillId="11" borderId="26" xfId="0" applyFont="1" applyFill="1" applyBorder="1" applyAlignment="1">
      <alignment wrapText="1"/>
    </xf>
    <xf numFmtId="0" fontId="15" fillId="11" borderId="26" xfId="0" applyFont="1" applyFill="1" applyBorder="1" applyAlignment="1">
      <alignment wrapText="1"/>
    </xf>
    <xf numFmtId="0" fontId="9" fillId="11" borderId="12" xfId="0" applyFont="1" applyFill="1" applyBorder="1" applyAlignment="1">
      <alignment horizontal="center" wrapText="1"/>
    </xf>
    <xf numFmtId="0" fontId="15" fillId="11" borderId="12" xfId="0" applyFont="1" applyFill="1" applyBorder="1" applyAlignment="1">
      <alignment horizontal="center"/>
    </xf>
    <xf numFmtId="0" fontId="9" fillId="11" borderId="54" xfId="0" applyFont="1" applyFill="1" applyBorder="1" applyAlignment="1" applyProtection="1">
      <alignment horizontal="left" vertical="center" wrapText="1"/>
      <protection hidden="1"/>
    </xf>
    <xf numFmtId="0" fontId="9" fillId="11" borderId="53" xfId="0" applyFont="1" applyFill="1" applyBorder="1" applyAlignment="1" applyProtection="1">
      <alignment horizontal="left" vertical="center" wrapText="1"/>
      <protection hidden="1"/>
    </xf>
    <xf numFmtId="0" fontId="9" fillId="11" borderId="14" xfId="0" applyFont="1" applyFill="1" applyBorder="1" applyAlignment="1" applyProtection="1">
      <alignment horizontal="center" vertical="center" wrapText="1"/>
      <protection hidden="1"/>
    </xf>
    <xf numFmtId="0" fontId="9" fillId="11" borderId="15" xfId="0" applyFont="1" applyFill="1" applyBorder="1" applyAlignment="1" applyProtection="1">
      <alignment horizontal="center" vertical="center" wrapText="1"/>
      <protection hidden="1"/>
    </xf>
    <xf numFmtId="43" fontId="49" fillId="2" borderId="4" xfId="2" applyFont="1" applyFill="1" applyBorder="1" applyAlignment="1" applyProtection="1">
      <alignment horizontal="center" vertical="center"/>
      <protection hidden="1"/>
    </xf>
    <xf numFmtId="0" fontId="15" fillId="0" borderId="10" xfId="0" applyFont="1" applyBorder="1" applyAlignment="1">
      <alignment vertical="center" textRotation="90"/>
    </xf>
    <xf numFmtId="0" fontId="15" fillId="0" borderId="11" xfId="0" applyFont="1" applyBorder="1" applyAlignment="1">
      <alignment vertical="center" textRotation="90"/>
    </xf>
    <xf numFmtId="0" fontId="9" fillId="11" borderId="26" xfId="0" applyFont="1" applyFill="1" applyBorder="1" applyAlignment="1" applyProtection="1">
      <alignment horizontal="left" vertical="center"/>
      <protection hidden="1"/>
    </xf>
    <xf numFmtId="0" fontId="15" fillId="11" borderId="26" xfId="0" applyFont="1" applyFill="1" applyBorder="1" applyAlignment="1">
      <alignment horizontal="left" vertical="center"/>
    </xf>
    <xf numFmtId="170" fontId="9" fillId="11" borderId="49" xfId="2" applyNumberFormat="1" applyFont="1" applyFill="1" applyBorder="1" applyAlignment="1">
      <alignment horizontal="center" vertical="center"/>
    </xf>
    <xf numFmtId="43" fontId="40" fillId="2" borderId="0" xfId="2" applyFont="1" applyFill="1" applyBorder="1" applyAlignment="1" applyProtection="1">
      <alignment horizontal="center" vertical="center"/>
      <protection hidden="1"/>
    </xf>
    <xf numFmtId="0" fontId="40" fillId="2" borderId="0" xfId="0" applyFont="1" applyFill="1" applyBorder="1" applyAlignment="1">
      <alignment vertical="center"/>
    </xf>
    <xf numFmtId="0" fontId="40" fillId="2" borderId="1" xfId="0" applyFont="1" applyFill="1" applyBorder="1" applyAlignment="1">
      <alignment vertical="center"/>
    </xf>
    <xf numFmtId="0" fontId="56" fillId="11" borderId="9" xfId="0" applyFont="1" applyFill="1" applyBorder="1" applyAlignment="1" applyProtection="1">
      <alignment horizontal="center" vertical="center" textRotation="90"/>
      <protection hidden="1"/>
    </xf>
    <xf numFmtId="0" fontId="56" fillId="0" borderId="10" xfId="0" applyFont="1" applyBorder="1" applyAlignment="1">
      <alignment horizontal="center" textRotation="90"/>
    </xf>
    <xf numFmtId="0" fontId="56" fillId="0" borderId="11" xfId="0" applyFont="1" applyBorder="1" applyAlignment="1">
      <alignment horizontal="center" textRotation="90"/>
    </xf>
    <xf numFmtId="180" fontId="9" fillId="11" borderId="13" xfId="2" applyNumberFormat="1" applyFont="1" applyFill="1" applyBorder="1" applyAlignment="1" applyProtection="1">
      <alignment horizontal="center" vertical="center"/>
      <protection hidden="1"/>
    </xf>
    <xf numFmtId="180" fontId="9" fillId="11" borderId="49" xfId="2" applyNumberFormat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26" xfId="0" applyBorder="1" applyAlignment="1">
      <alignment horizontal="center"/>
    </xf>
    <xf numFmtId="0" fontId="10" fillId="2" borderId="12" xfId="0" applyFont="1" applyFill="1" applyBorder="1" applyAlignment="1">
      <alignment horizontal="left" vertical="center"/>
    </xf>
    <xf numFmtId="49" fontId="9" fillId="2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left" vertical="center" wrapText="1" indent="1"/>
    </xf>
    <xf numFmtId="0" fontId="32" fillId="0" borderId="0" xfId="0" applyFont="1" applyFill="1" applyAlignment="1">
      <alignment horizontal="right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55" fillId="22" borderId="21" xfId="4" applyFont="1" applyFill="1" applyBorder="1" applyAlignment="1" applyProtection="1">
      <alignment horizontal="center" vertical="center" wrapText="1"/>
      <protection locked="0" hidden="1"/>
    </xf>
    <xf numFmtId="0" fontId="55" fillId="0" borderId="12" xfId="4" applyFont="1" applyBorder="1" applyAlignment="1" applyProtection="1">
      <alignment horizontal="center" vertical="center" wrapText="1"/>
      <protection locked="0" hidden="1"/>
    </xf>
    <xf numFmtId="0" fontId="6" fillId="0" borderId="12" xfId="4" applyBorder="1" applyAlignment="1" applyProtection="1">
      <alignment horizontal="center" vertical="center" wrapText="1"/>
      <protection locked="0" hidden="1"/>
    </xf>
    <xf numFmtId="0" fontId="6" fillId="0" borderId="22" xfId="4" applyBorder="1" applyAlignment="1" applyProtection="1">
      <alignment horizontal="center" vertical="center" wrapText="1"/>
      <protection locked="0" hidden="1"/>
    </xf>
    <xf numFmtId="0" fontId="6" fillId="22" borderId="21" xfId="4" applyFill="1" applyBorder="1" applyAlignment="1" applyProtection="1">
      <alignment horizontal="center" vertical="center" wrapText="1"/>
      <protection locked="0" hidden="1"/>
    </xf>
    <xf numFmtId="0" fontId="0" fillId="0" borderId="12" xfId="0" applyBorder="1" applyAlignment="1" applyProtection="1">
      <alignment wrapText="1"/>
      <protection locked="0" hidden="1"/>
    </xf>
    <xf numFmtId="0" fontId="0" fillId="0" borderId="22" xfId="0" applyBorder="1" applyAlignment="1" applyProtection="1">
      <alignment wrapText="1"/>
      <protection locked="0" hidden="1"/>
    </xf>
    <xf numFmtId="0" fontId="0" fillId="0" borderId="21" xfId="0" applyBorder="1" applyAlignment="1" applyProtection="1">
      <alignment wrapText="1"/>
      <protection locked="0" hidden="1"/>
    </xf>
    <xf numFmtId="0" fontId="0" fillId="0" borderId="23" xfId="0" applyBorder="1" applyAlignment="1" applyProtection="1">
      <alignment wrapText="1"/>
      <protection locked="0" hidden="1"/>
    </xf>
    <xf numFmtId="0" fontId="0" fillId="0" borderId="17" xfId="0" applyBorder="1" applyAlignment="1" applyProtection="1">
      <alignment wrapText="1"/>
      <protection locked="0" hidden="1"/>
    </xf>
    <xf numFmtId="0" fontId="0" fillId="0" borderId="19" xfId="0" applyBorder="1" applyAlignment="1" applyProtection="1">
      <alignment wrapText="1"/>
      <protection locked="0" hidden="1"/>
    </xf>
    <xf numFmtId="0" fontId="6" fillId="0" borderId="17" xfId="4" applyBorder="1" applyAlignment="1" applyProtection="1">
      <alignment horizontal="center" vertical="center" wrapText="1"/>
      <protection locked="0" hidden="1"/>
    </xf>
    <xf numFmtId="0" fontId="6" fillId="0" borderId="19" xfId="4" applyBorder="1" applyAlignment="1" applyProtection="1">
      <alignment horizontal="center" vertical="center" wrapText="1"/>
      <protection locked="0" hidden="1"/>
    </xf>
    <xf numFmtId="0" fontId="55" fillId="22" borderId="12" xfId="4" applyFont="1" applyFill="1" applyBorder="1" applyAlignment="1" applyProtection="1">
      <alignment wrapText="1"/>
      <protection locked="0" hidden="1"/>
    </xf>
    <xf numFmtId="0" fontId="55" fillId="22" borderId="22" xfId="4" applyFont="1" applyFill="1" applyBorder="1" applyAlignment="1" applyProtection="1">
      <alignment wrapText="1"/>
      <protection locked="0" hidden="1"/>
    </xf>
    <xf numFmtId="0" fontId="55" fillId="0" borderId="12" xfId="4" applyFont="1" applyBorder="1" applyAlignment="1" applyProtection="1">
      <alignment wrapText="1"/>
      <protection locked="0" hidden="1"/>
    </xf>
    <xf numFmtId="0" fontId="55" fillId="0" borderId="22" xfId="4" applyFont="1" applyBorder="1" applyAlignment="1" applyProtection="1">
      <alignment wrapText="1"/>
      <protection locked="0" hidden="1"/>
    </xf>
    <xf numFmtId="0" fontId="55" fillId="22" borderId="12" xfId="4" applyFont="1" applyFill="1" applyBorder="1" applyAlignment="1" applyProtection="1">
      <alignment horizontal="center" vertical="center" wrapText="1"/>
      <protection locked="0" hidden="1"/>
    </xf>
    <xf numFmtId="0" fontId="43" fillId="20" borderId="43" xfId="4" applyFont="1" applyFill="1" applyBorder="1" applyAlignment="1" applyProtection="1">
      <alignment horizontal="center" vertical="center" wrapText="1"/>
      <protection locked="0" hidden="1"/>
    </xf>
    <xf numFmtId="0" fontId="43" fillId="20" borderId="37" xfId="4" applyFont="1" applyFill="1" applyBorder="1" applyAlignment="1" applyProtection="1">
      <alignment horizontal="center" vertical="center" wrapText="1"/>
      <protection locked="0" hidden="1"/>
    </xf>
    <xf numFmtId="0" fontId="35" fillId="0" borderId="37" xfId="4" applyFont="1" applyBorder="1" applyAlignment="1" applyProtection="1">
      <alignment horizontal="center" vertical="center" wrapText="1"/>
      <protection locked="0" hidden="1"/>
    </xf>
    <xf numFmtId="0" fontId="6" fillId="0" borderId="37" xfId="4" applyBorder="1" applyAlignment="1" applyProtection="1">
      <alignment wrapText="1"/>
      <protection locked="0" hidden="1"/>
    </xf>
    <xf numFmtId="0" fontId="35" fillId="0" borderId="38" xfId="4" applyFont="1" applyBorder="1" applyAlignment="1" applyProtection="1">
      <alignment horizontal="center" vertical="center" wrapText="1"/>
      <protection locked="0" hidden="1"/>
    </xf>
    <xf numFmtId="0" fontId="6" fillId="22" borderId="16" xfId="0" applyFont="1" applyFill="1" applyBorder="1" applyAlignment="1" applyProtection="1">
      <alignment horizontal="center" vertical="center" wrapText="1"/>
      <protection locked="0" hidden="1"/>
    </xf>
    <xf numFmtId="0" fontId="6" fillId="0" borderId="20" xfId="0" applyFont="1" applyBorder="1" applyAlignment="1" applyProtection="1">
      <alignment horizontal="center" vertical="center" wrapText="1"/>
      <protection locked="0" hidden="1"/>
    </xf>
    <xf numFmtId="0" fontId="55" fillId="22" borderId="16" xfId="4" applyFont="1" applyFill="1" applyBorder="1" applyAlignment="1" applyProtection="1">
      <alignment horizontal="center" vertical="center" wrapText="1"/>
      <protection locked="0" hidden="1"/>
    </xf>
    <xf numFmtId="0" fontId="6" fillId="0" borderId="16" xfId="4" applyBorder="1" applyAlignment="1" applyProtection="1">
      <alignment wrapText="1"/>
      <protection locked="0" hidden="1"/>
    </xf>
    <xf numFmtId="0" fontId="6" fillId="0" borderId="20" xfId="4" applyBorder="1" applyAlignment="1" applyProtection="1">
      <alignment wrapText="1"/>
      <protection locked="0" hidden="1"/>
    </xf>
    <xf numFmtId="0" fontId="55" fillId="22" borderId="18" xfId="4" applyFont="1" applyFill="1" applyBorder="1" applyAlignment="1" applyProtection="1">
      <alignment horizontal="center" vertical="center" wrapText="1"/>
      <protection locked="0" hidden="1"/>
    </xf>
    <xf numFmtId="0" fontId="55" fillId="0" borderId="16" xfId="4" applyFont="1" applyBorder="1" applyAlignment="1" applyProtection="1">
      <alignment horizontal="center" vertical="center" wrapText="1"/>
      <protection locked="0" hidden="1"/>
    </xf>
    <xf numFmtId="0" fontId="55" fillId="0" borderId="20" xfId="4" applyFont="1" applyBorder="1" applyAlignment="1" applyProtection="1">
      <alignment horizontal="center" vertical="center" wrapText="1"/>
      <protection locked="0" hidden="1"/>
    </xf>
    <xf numFmtId="0" fontId="6" fillId="22" borderId="16" xfId="4" applyFill="1" applyBorder="1" applyAlignment="1" applyProtection="1">
      <alignment horizontal="center" vertical="center" wrapText="1"/>
      <protection locked="0" hidden="1"/>
    </xf>
    <xf numFmtId="0" fontId="6" fillId="0" borderId="16" xfId="4" applyBorder="1" applyAlignment="1" applyProtection="1">
      <alignment horizontal="center" vertical="center" wrapText="1"/>
      <protection locked="0" hidden="1"/>
    </xf>
    <xf numFmtId="0" fontId="55" fillId="22" borderId="22" xfId="4" applyFont="1" applyFill="1" applyBorder="1" applyAlignment="1" applyProtection="1">
      <alignment horizontal="center" vertical="center" wrapText="1"/>
      <protection locked="0" hidden="1"/>
    </xf>
    <xf numFmtId="0" fontId="43" fillId="19" borderId="43" xfId="4" applyFont="1" applyFill="1" applyBorder="1" applyAlignment="1" applyProtection="1">
      <alignment horizontal="center" vertical="center" wrapText="1"/>
      <protection locked="0" hidden="1"/>
    </xf>
    <xf numFmtId="0" fontId="6" fillId="0" borderId="38" xfId="4" applyBorder="1" applyAlignment="1" applyProtection="1">
      <alignment horizontal="center" vertical="center" wrapText="1"/>
      <protection locked="0" hidden="1"/>
    </xf>
    <xf numFmtId="0" fontId="55" fillId="22" borderId="27" xfId="4" applyFont="1" applyFill="1" applyBorder="1" applyAlignment="1" applyProtection="1">
      <alignment horizontal="center" vertical="center" wrapText="1"/>
      <protection locked="0" hidden="1"/>
    </xf>
    <xf numFmtId="0" fontId="55" fillId="0" borderId="15" xfId="4" applyFont="1" applyBorder="1" applyAlignment="1" applyProtection="1">
      <alignment wrapText="1"/>
      <protection locked="0" hidden="1"/>
    </xf>
    <xf numFmtId="3" fontId="6" fillId="22" borderId="15" xfId="4" applyNumberFormat="1" applyFill="1" applyBorder="1" applyAlignment="1" applyProtection="1">
      <alignment horizontal="center" vertical="center" wrapText="1"/>
      <protection hidden="1"/>
    </xf>
    <xf numFmtId="0" fontId="6" fillId="0" borderId="15" xfId="4" applyBorder="1" applyAlignment="1" applyProtection="1">
      <alignment wrapText="1"/>
      <protection hidden="1"/>
    </xf>
    <xf numFmtId="0" fontId="6" fillId="22" borderId="15" xfId="4" applyFill="1" applyBorder="1" applyAlignment="1" applyProtection="1">
      <alignment horizontal="center" vertical="center" wrapText="1"/>
      <protection locked="0" hidden="1"/>
    </xf>
    <xf numFmtId="0" fontId="6" fillId="0" borderId="28" xfId="4" applyBorder="1" applyAlignment="1" applyProtection="1">
      <alignment horizontal="center" vertical="center" wrapText="1"/>
      <protection locked="0" hidden="1"/>
    </xf>
    <xf numFmtId="0" fontId="55" fillId="22" borderId="23" xfId="4" applyFont="1" applyFill="1" applyBorder="1" applyAlignment="1" applyProtection="1">
      <alignment horizontal="center" vertical="center" wrapText="1"/>
      <protection locked="0" hidden="1"/>
    </xf>
    <xf numFmtId="0" fontId="55" fillId="0" borderId="17" xfId="4" applyFont="1" applyBorder="1" applyAlignment="1" applyProtection="1">
      <alignment wrapText="1"/>
      <protection locked="0" hidden="1"/>
    </xf>
    <xf numFmtId="3" fontId="6" fillId="22" borderId="17" xfId="4" applyNumberFormat="1" applyFill="1" applyBorder="1" applyAlignment="1" applyProtection="1">
      <alignment horizontal="center" vertical="center" wrapText="1"/>
      <protection hidden="1"/>
    </xf>
    <xf numFmtId="0" fontId="6" fillId="0" borderId="17" xfId="4" applyBorder="1" applyAlignment="1" applyProtection="1">
      <alignment wrapText="1"/>
      <protection hidden="1"/>
    </xf>
    <xf numFmtId="0" fontId="6" fillId="22" borderId="17" xfId="4" applyFill="1" applyBorder="1" applyAlignment="1" applyProtection="1">
      <alignment horizontal="center" vertical="center" wrapText="1"/>
      <protection locked="0" hidden="1"/>
    </xf>
    <xf numFmtId="5" fontId="70" fillId="22" borderId="0" xfId="9" applyNumberFormat="1" applyFont="1" applyFill="1" applyAlignment="1">
      <alignment horizontal="center" vertical="center" wrapText="1"/>
    </xf>
    <xf numFmtId="5" fontId="70" fillId="34" borderId="0" xfId="9" applyNumberFormat="1" applyFont="1" applyFill="1" applyAlignment="1">
      <alignment horizontal="center" vertical="center" wrapText="1"/>
    </xf>
    <xf numFmtId="180" fontId="70" fillId="22" borderId="0" xfId="9" applyNumberFormat="1" applyFont="1" applyFill="1" applyAlignment="1">
      <alignment horizontal="center" vertical="center" wrapText="1"/>
    </xf>
    <xf numFmtId="0" fontId="70" fillId="22" borderId="0" xfId="0" applyFont="1" applyFill="1" applyAlignment="1">
      <alignment horizontal="left" vertical="center" wrapText="1"/>
    </xf>
    <xf numFmtId="180" fontId="70" fillId="34" borderId="0" xfId="9" applyNumberFormat="1" applyFont="1" applyFill="1" applyAlignment="1">
      <alignment horizontal="center" vertical="center" wrapText="1"/>
    </xf>
    <xf numFmtId="3" fontId="70" fillId="22" borderId="0" xfId="0" applyNumberFormat="1" applyFont="1" applyFill="1" applyAlignment="1">
      <alignment horizontal="center" vertical="center" wrapText="1"/>
    </xf>
    <xf numFmtId="3" fontId="70" fillId="34" borderId="0" xfId="0" applyNumberFormat="1" applyFont="1" applyFill="1" applyAlignment="1">
      <alignment horizontal="center" vertical="center" wrapText="1"/>
    </xf>
    <xf numFmtId="3" fontId="70" fillId="22" borderId="0" xfId="0" applyNumberFormat="1" applyFont="1" applyFill="1" applyAlignment="1">
      <alignment horizontal="center" wrapText="1"/>
    </xf>
    <xf numFmtId="171" fontId="70" fillId="34" borderId="0" xfId="0" applyNumberFormat="1" applyFont="1" applyFill="1" applyAlignment="1">
      <alignment horizontal="center" wrapText="1"/>
    </xf>
    <xf numFmtId="0" fontId="70" fillId="22" borderId="0" xfId="0" applyFont="1" applyFill="1" applyAlignment="1">
      <alignment horizontal="center" wrapText="1"/>
    </xf>
    <xf numFmtId="49" fontId="70" fillId="35" borderId="0" xfId="0" applyNumberFormat="1" applyFont="1" applyFill="1" applyAlignment="1">
      <alignment horizontal="left" vertical="center"/>
    </xf>
    <xf numFmtId="49" fontId="70" fillId="22" borderId="0" xfId="0" applyNumberFormat="1" applyFont="1" applyFill="1" applyAlignment="1">
      <alignment horizontal="left" vertical="center"/>
    </xf>
    <xf numFmtId="9" fontId="105" fillId="11" borderId="69" xfId="7" applyFont="1" applyFill="1" applyBorder="1" applyAlignment="1" applyProtection="1">
      <alignment horizontal="center" vertical="center"/>
      <protection hidden="1"/>
    </xf>
    <xf numFmtId="0" fontId="106" fillId="0" borderId="70" xfId="0" applyFont="1" applyBorder="1" applyAlignment="1">
      <alignment horizontal="center" vertical="center"/>
    </xf>
    <xf numFmtId="0" fontId="106" fillId="0" borderId="61" xfId="0" applyFont="1" applyBorder="1" applyAlignment="1">
      <alignment horizontal="center" vertical="center"/>
    </xf>
    <xf numFmtId="0" fontId="106" fillId="0" borderId="46" xfId="0" applyFont="1" applyBorder="1" applyAlignment="1">
      <alignment horizontal="center" vertical="center"/>
    </xf>
    <xf numFmtId="180" fontId="105" fillId="11" borderId="16" xfId="2" applyNumberFormat="1" applyFont="1" applyFill="1" applyBorder="1" applyAlignment="1" applyProtection="1">
      <alignment horizontal="center" vertical="center"/>
      <protection hidden="1"/>
    </xf>
    <xf numFmtId="180" fontId="105" fillId="11" borderId="20" xfId="2" applyNumberFormat="1" applyFont="1" applyFill="1" applyBorder="1" applyAlignment="1" applyProtection="1">
      <alignment horizontal="center" vertical="center"/>
      <protection hidden="1"/>
    </xf>
    <xf numFmtId="9" fontId="106" fillId="11" borderId="13" xfId="7" applyNumberFormat="1" applyFont="1" applyFill="1" applyBorder="1" applyAlignment="1" applyProtection="1">
      <alignment horizontal="center" vertical="center"/>
      <protection hidden="1"/>
    </xf>
    <xf numFmtId="9" fontId="106" fillId="11" borderId="50" xfId="7" applyNumberFormat="1" applyFont="1" applyFill="1" applyBorder="1" applyAlignment="1" applyProtection="1">
      <alignment horizontal="center" vertical="center"/>
      <protection hidden="1"/>
    </xf>
    <xf numFmtId="186" fontId="105" fillId="11" borderId="13" xfId="0" applyNumberFormat="1" applyFont="1" applyFill="1" applyBorder="1" applyAlignment="1" applyProtection="1">
      <alignment horizontal="center" vertical="center"/>
      <protection hidden="1"/>
    </xf>
    <xf numFmtId="186" fontId="105" fillId="11" borderId="50" xfId="0" applyNumberFormat="1" applyFont="1" applyFill="1" applyBorder="1" applyAlignment="1" applyProtection="1">
      <alignment horizontal="center" vertical="center"/>
      <protection hidden="1"/>
    </xf>
    <xf numFmtId="175" fontId="105" fillId="11" borderId="13" xfId="0" applyNumberFormat="1" applyFont="1" applyFill="1" applyBorder="1" applyAlignment="1" applyProtection="1">
      <alignment horizontal="center" vertical="center"/>
      <protection hidden="1"/>
    </xf>
    <xf numFmtId="175" fontId="105" fillId="11" borderId="50" xfId="0" applyNumberFormat="1" applyFont="1" applyFill="1" applyBorder="1" applyAlignment="1" applyProtection="1">
      <alignment horizontal="center" vertical="center"/>
      <protection hidden="1"/>
    </xf>
    <xf numFmtId="175" fontId="105" fillId="11" borderId="17" xfId="0" applyNumberFormat="1" applyFont="1" applyFill="1" applyBorder="1" applyAlignment="1" applyProtection="1">
      <alignment horizontal="center" vertical="center"/>
      <protection hidden="1"/>
    </xf>
    <xf numFmtId="175" fontId="105" fillId="11" borderId="19" xfId="0" applyNumberFormat="1" applyFont="1" applyFill="1" applyBorder="1" applyAlignment="1" applyProtection="1">
      <alignment horizontal="center" vertical="center"/>
      <protection hidden="1"/>
    </xf>
    <xf numFmtId="175" fontId="106" fillId="11" borderId="13" xfId="2" applyNumberFormat="1" applyFont="1" applyFill="1" applyBorder="1" applyAlignment="1" applyProtection="1">
      <alignment horizontal="center" vertical="center"/>
      <protection hidden="1"/>
    </xf>
    <xf numFmtId="175" fontId="106" fillId="11" borderId="50" xfId="2" applyNumberFormat="1" applyFont="1" applyFill="1" applyBorder="1" applyAlignment="1" applyProtection="1">
      <alignment horizontal="center" vertical="center"/>
      <protection hidden="1"/>
    </xf>
    <xf numFmtId="9" fontId="106" fillId="11" borderId="13" xfId="7" applyFont="1" applyFill="1" applyBorder="1" applyAlignment="1" applyProtection="1">
      <alignment horizontal="center" vertical="center"/>
      <protection hidden="1"/>
    </xf>
    <xf numFmtId="9" fontId="106" fillId="11" borderId="50" xfId="7" applyFont="1" applyFill="1" applyBorder="1" applyAlignment="1" applyProtection="1">
      <alignment horizontal="center" vertical="center"/>
      <protection hidden="1"/>
    </xf>
    <xf numFmtId="175" fontId="105" fillId="11" borderId="13" xfId="0" quotePrefix="1" applyNumberFormat="1" applyFont="1" applyFill="1" applyBorder="1" applyAlignment="1" applyProtection="1">
      <alignment horizontal="center" vertical="center"/>
      <protection hidden="1"/>
    </xf>
    <xf numFmtId="171" fontId="70" fillId="34" borderId="0" xfId="0" applyNumberFormat="1" applyFont="1" applyFill="1" applyAlignment="1">
      <alignment horizontal="left" wrapText="1"/>
    </xf>
    <xf numFmtId="3" fontId="70" fillId="22" borderId="0" xfId="0" applyNumberFormat="1" applyFont="1" applyFill="1" applyAlignment="1">
      <alignment horizontal="left" wrapText="1"/>
    </xf>
  </cellXfs>
  <cellStyles count="14">
    <cellStyle name="Euro" xfId="1"/>
    <cellStyle name="Migliaia" xfId="2" builtinId="3"/>
    <cellStyle name="Migliaia [0]" xfId="3" builtinId="6"/>
    <cellStyle name="Normale" xfId="0" builtinId="0"/>
    <cellStyle name="Normale 2" xfId="4"/>
    <cellStyle name="Normale 3" xfId="10"/>
    <cellStyle name="Normale 4" xfId="12"/>
    <cellStyle name="Normale_5000-PRE-GEC-Vicari-ProjectPresentation-Erogasmet-2005-04-27" xfId="5"/>
    <cellStyle name="Normale_BP INVESTIMENTO ORC (TO_220) - 15ANNI" xfId="6"/>
    <cellStyle name="Percentuale" xfId="7" builtinId="5"/>
    <cellStyle name="Percentuale 2" xfId="8"/>
    <cellStyle name="Valuta" xfId="9" builtinId="4"/>
    <cellStyle name="Valuta 2" xfId="11"/>
    <cellStyle name="Valuta 3" xfId="13"/>
  </cellStyles>
  <dxfs count="0"/>
  <tableStyles count="0" defaultTableStyle="TableStyleMedium9" defaultPivotStyle="PivotStyleLight16"/>
  <colors>
    <mruColors>
      <color rgb="FF008000"/>
      <color rgb="FF3366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Riduzione consumi VRV</a:t>
            </a:r>
          </a:p>
        </c:rich>
      </c:tx>
      <c:layout>
        <c:manualLayout>
          <c:xMode val="edge"/>
          <c:yMode val="edge"/>
          <c:x val="0.39382767894753895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"/>
      <c:rotY val="20"/>
      <c:depthPercent val="100"/>
      <c:rAngAx val="1"/>
    </c:view3D>
    <c:floor>
      <c:thickness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2592704225386069E-2"/>
          <c:y val="0.17647115142192427"/>
          <c:w val="0.76172931342751005"/>
          <c:h val="0.6143810456911436"/>
        </c:manualLayout>
      </c:layout>
      <c:bar3DChart>
        <c:barDir val="col"/>
        <c:grouping val="clustered"/>
        <c:varyColors val="0"/>
        <c:ser>
          <c:idx val="0"/>
          <c:order val="0"/>
          <c:tx>
            <c:v>Riduzione consumi - Estate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'Riduzioni consumi VRV'!$A$54:$A$61</c:f>
              <c:numCache>
                <c:formatCode>0%</c:formatCode>
                <c:ptCount val="8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</c:numCache>
            </c:numRef>
          </c:cat>
          <c:val>
            <c:numRef>
              <c:f>'Riduzioni consumi VRV'!$B$54:$B$61</c:f>
              <c:numCache>
                <c:formatCode>0%</c:formatCode>
                <c:ptCount val="8"/>
                <c:pt idx="0">
                  <c:v>1</c:v>
                </c:pt>
                <c:pt idx="1">
                  <c:v>0.86826584138626206</c:v>
                </c:pt>
                <c:pt idx="2">
                  <c:v>0.73300636363203653</c:v>
                </c:pt>
                <c:pt idx="3">
                  <c:v>0.60972393424665849</c:v>
                </c:pt>
                <c:pt idx="4">
                  <c:v>0.49785065211041801</c:v>
                </c:pt>
                <c:pt idx="5">
                  <c:v>0.39807263019794481</c:v>
                </c:pt>
                <c:pt idx="6">
                  <c:v>0.35826536717815027</c:v>
                </c:pt>
                <c:pt idx="7">
                  <c:v>0.32243883046033528</c:v>
                </c:pt>
              </c:numCache>
            </c:numRef>
          </c:val>
        </c:ser>
        <c:ser>
          <c:idx val="1"/>
          <c:order val="1"/>
          <c:tx>
            <c:v>Riduzione consumi - Inverno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'Riduzioni consumi VRV'!$A$54:$A$61</c:f>
              <c:numCache>
                <c:formatCode>0%</c:formatCode>
                <c:ptCount val="8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</c:numCache>
            </c:numRef>
          </c:cat>
          <c:val>
            <c:numRef>
              <c:f>'Riduzioni consumi VRV'!$C$54:$C$61</c:f>
              <c:numCache>
                <c:formatCode>0%</c:formatCode>
                <c:ptCount val="8"/>
                <c:pt idx="0">
                  <c:v>1</c:v>
                </c:pt>
                <c:pt idx="1">
                  <c:v>0.94230504749819155</c:v>
                </c:pt>
                <c:pt idx="2">
                  <c:v>0.86552791739268775</c:v>
                </c:pt>
                <c:pt idx="3">
                  <c:v>0.76651335275489929</c:v>
                </c:pt>
                <c:pt idx="4">
                  <c:v>0.65059968908465582</c:v>
                </c:pt>
                <c:pt idx="5">
                  <c:v>0.53752871279133452</c:v>
                </c:pt>
                <c:pt idx="6">
                  <c:v>0.3999999999999998</c:v>
                </c:pt>
                <c:pt idx="7">
                  <c:v>0.30000000000000038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836288"/>
        <c:axId val="107131648"/>
        <c:axId val="0"/>
      </c:bar3DChart>
      <c:catAx>
        <c:axId val="398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Carico</a:t>
                </a:r>
              </a:p>
            </c:rich>
          </c:tx>
          <c:layout>
            <c:manualLayout>
              <c:xMode val="edge"/>
              <c:yMode val="edge"/>
              <c:x val="0.4370375554907488"/>
              <c:y val="0.8692837905065788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0713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13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Riduzione consumi</a:t>
                </a:r>
              </a:p>
            </c:rich>
          </c:tx>
          <c:layout>
            <c:manualLayout>
              <c:xMode val="edge"/>
              <c:yMode val="edge"/>
              <c:x val="8.3950746897378567E-2"/>
              <c:y val="0.3039225979105553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39836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691461715433713"/>
          <c:y val="0.24509872540442249"/>
          <c:w val="0.14321000615663781"/>
          <c:h val="0.24836669926063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58823529411778E-2"/>
          <c:y val="5.8394299332561926E-2"/>
          <c:w val="0.86203208556149735"/>
          <c:h val="0.82725257387795981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xVal>
            <c:numRef>
              <c:f>'Defrost VRV'!$B$6:$B$15</c:f>
              <c:numCache>
                <c:formatCode>0.00</c:formatCode>
                <c:ptCount val="10"/>
                <c:pt idx="0" formatCode="General">
                  <c:v>-20</c:v>
                </c:pt>
                <c:pt idx="1">
                  <c:v>-10</c:v>
                </c:pt>
                <c:pt idx="2">
                  <c:v>-7</c:v>
                </c:pt>
                <c:pt idx="3">
                  <c:v>-5</c:v>
                </c:pt>
                <c:pt idx="4">
                  <c:v>-3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20</c:v>
                </c:pt>
              </c:numCache>
            </c:numRef>
          </c:xVal>
          <c:yVal>
            <c:numRef>
              <c:f>'Defrost VRV'!$C$6:$C$15</c:f>
              <c:numCache>
                <c:formatCode>0.00</c:formatCode>
                <c:ptCount val="10"/>
                <c:pt idx="0" formatCode="General">
                  <c:v>0.96</c:v>
                </c:pt>
                <c:pt idx="1">
                  <c:v>0.96</c:v>
                </c:pt>
                <c:pt idx="2">
                  <c:v>0.96</c:v>
                </c:pt>
                <c:pt idx="3">
                  <c:v>0.93</c:v>
                </c:pt>
                <c:pt idx="4">
                  <c:v>0.87</c:v>
                </c:pt>
                <c:pt idx="5">
                  <c:v>0.81</c:v>
                </c:pt>
                <c:pt idx="6">
                  <c:v>0.83</c:v>
                </c:pt>
                <c:pt idx="7">
                  <c:v>0.89</c:v>
                </c:pt>
                <c:pt idx="8">
                  <c:v>1</c:v>
                </c:pt>
                <c:pt idx="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82528"/>
        <c:axId val="40612992"/>
      </c:scatterChart>
      <c:valAx>
        <c:axId val="405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0612992"/>
        <c:crosses val="autoZero"/>
        <c:crossBetween val="midCat"/>
      </c:valAx>
      <c:valAx>
        <c:axId val="4061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0582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22" r="0.75000000000000022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KW/HP VRV</a:t>
            </a:r>
          </a:p>
        </c:rich>
      </c:tx>
      <c:layout>
        <c:manualLayout>
          <c:xMode val="edge"/>
          <c:yMode val="edge"/>
          <c:x val="0.4481283422459893"/>
          <c:y val="3.1784841075794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52941176470629E-2"/>
          <c:y val="0.17603932996749178"/>
          <c:w val="0.84278074866310182"/>
          <c:h val="0.7163822733399313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FF0000"/>
                </a:solidFill>
                <a:prstDash val="solid"/>
              </a:ln>
            </c:spPr>
            <c:trendlineType val="poly"/>
            <c:order val="4"/>
            <c:dispRSqr val="0"/>
            <c:dispEq val="1"/>
            <c:trendlineLbl>
              <c:layout>
                <c:manualLayout>
                  <c:x val="-0.38773371510379384"/>
                  <c:y val="-0.20593360782518105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it-IT"/>
                </a:p>
              </c:txPr>
            </c:trendlineLbl>
          </c:trendline>
          <c:xVal>
            <c:numRef>
              <c:f>'Defrost VRV'!$B$25:$B$32</c:f>
              <c:numCache>
                <c:formatCode>0.00</c:formatCode>
                <c:ptCount val="8"/>
                <c:pt idx="0">
                  <c:v>-20</c:v>
                </c:pt>
                <c:pt idx="1">
                  <c:v>-16</c:v>
                </c:pt>
                <c:pt idx="2">
                  <c:v>-10</c:v>
                </c:pt>
                <c:pt idx="3">
                  <c:v>-2</c:v>
                </c:pt>
                <c:pt idx="4" formatCode="General">
                  <c:v>1</c:v>
                </c:pt>
                <c:pt idx="5">
                  <c:v>6</c:v>
                </c:pt>
                <c:pt idx="6">
                  <c:v>11</c:v>
                </c:pt>
                <c:pt idx="7">
                  <c:v>15</c:v>
                </c:pt>
              </c:numCache>
            </c:numRef>
          </c:xVal>
          <c:yVal>
            <c:numRef>
              <c:f>'Defrost VRV'!$G$25:$G$32</c:f>
              <c:numCache>
                <c:formatCode>General</c:formatCode>
                <c:ptCount val="8"/>
                <c:pt idx="0">
                  <c:v>1.7206153846153844</c:v>
                </c:pt>
                <c:pt idx="1">
                  <c:v>1.8387692307692305</c:v>
                </c:pt>
                <c:pt idx="2">
                  <c:v>2.0494507692307695</c:v>
                </c:pt>
                <c:pt idx="3">
                  <c:v>2.2084642116923079</c:v>
                </c:pt>
                <c:pt idx="4">
                  <c:v>2.2555994832307693</c:v>
                </c:pt>
                <c:pt idx="5">
                  <c:v>2.9489518646153852</c:v>
                </c:pt>
                <c:pt idx="6">
                  <c:v>2.9489518646153852</c:v>
                </c:pt>
                <c:pt idx="7">
                  <c:v>2.9489518646153852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77920"/>
        <c:axId val="40979456"/>
      </c:scatterChart>
      <c:valAx>
        <c:axId val="409779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0979456"/>
        <c:crosses val="autoZero"/>
        <c:crossBetween val="midCat"/>
      </c:valAx>
      <c:valAx>
        <c:axId val="4097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09779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KW/HP GHP</a:t>
            </a:r>
          </a:p>
        </c:rich>
      </c:tx>
      <c:layout>
        <c:manualLayout>
          <c:xMode val="edge"/>
          <c:yMode val="edge"/>
          <c:x val="0.4481283422459893"/>
          <c:y val="3.1784841075794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433155080213928E-2"/>
          <c:y val="0.17359433927349877"/>
          <c:w val="0.80213903743315551"/>
          <c:h val="0.7163822733399313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1"/>
            <c:trendlineLbl>
              <c:layout>
                <c:manualLayout>
                  <c:x val="-0.22410689572894291"/>
                  <c:y val="-0.1998368898955869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it-IT"/>
                </a:p>
              </c:txPr>
            </c:trendlineLbl>
          </c:trendline>
          <c:xVal>
            <c:numRef>
              <c:f>'Defrost VRV'!$B$25:$B$32</c:f>
              <c:numCache>
                <c:formatCode>0.00</c:formatCode>
                <c:ptCount val="8"/>
                <c:pt idx="0">
                  <c:v>-20</c:v>
                </c:pt>
                <c:pt idx="1">
                  <c:v>-16</c:v>
                </c:pt>
                <c:pt idx="2">
                  <c:v>-10</c:v>
                </c:pt>
                <c:pt idx="3">
                  <c:v>-2</c:v>
                </c:pt>
                <c:pt idx="4" formatCode="General">
                  <c:v>1</c:v>
                </c:pt>
                <c:pt idx="5">
                  <c:v>6</c:v>
                </c:pt>
                <c:pt idx="6">
                  <c:v>11</c:v>
                </c:pt>
                <c:pt idx="7">
                  <c:v>15</c:v>
                </c:pt>
              </c:numCache>
            </c:numRef>
          </c:xVal>
          <c:yVal>
            <c:numRef>
              <c:f>'Defrost VRV'!$H$25:$H$32</c:f>
              <c:numCache>
                <c:formatCode>General</c:formatCode>
                <c:ptCount val="8"/>
                <c:pt idx="0">
                  <c:v>2.52</c:v>
                </c:pt>
                <c:pt idx="1">
                  <c:v>2.56</c:v>
                </c:pt>
                <c:pt idx="2">
                  <c:v>2.72</c:v>
                </c:pt>
                <c:pt idx="3">
                  <c:v>3.1480000000000001</c:v>
                </c:pt>
                <c:pt idx="4">
                  <c:v>3.36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08512"/>
        <c:axId val="41018496"/>
      </c:scatterChart>
      <c:valAx>
        <c:axId val="410085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1018496"/>
        <c:crosses val="autoZero"/>
        <c:crossBetween val="midCat"/>
      </c:valAx>
      <c:valAx>
        <c:axId val="4101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10085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72727272727268"/>
          <c:y val="0.47921760391198043"/>
          <c:w val="0.118716577540107"/>
          <c:h val="0.107579462102689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% tempo a carico parziale</a:t>
            </a:r>
          </a:p>
        </c:rich>
      </c:tx>
      <c:layout>
        <c:manualLayout>
          <c:xMode val="edge"/>
          <c:yMode val="edge"/>
          <c:x val="0.3155737704918033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0491803278689"/>
          <c:y val="0.18787934386642968"/>
          <c:w val="0.85860655737704938"/>
          <c:h val="0.68788082351095969"/>
        </c:manualLayout>
      </c:layout>
      <c:lineChart>
        <c:grouping val="standard"/>
        <c:varyColors val="0"/>
        <c:ser>
          <c:idx val="0"/>
          <c:order val="0"/>
          <c:tx>
            <c:strRef>
              <c:f>'1-Ore funzionamento'!$AF$5</c:f>
              <c:strCache>
                <c:ptCount val="1"/>
                <c:pt idx="0">
                  <c:v>% tempo a carico parziale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'1-Ore funzionamento'!$AE$7:$AE$14</c:f>
              <c:numCache>
                <c:formatCode>0%</c:formatCode>
                <c:ptCount val="8"/>
                <c:pt idx="0">
                  <c:v>1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</c:numCache>
            </c:numRef>
          </c:cat>
          <c:val>
            <c:numRef>
              <c:f>'1-Ore funzionamento'!$AI$21:$AI$28</c:f>
              <c:numCache>
                <c:formatCode>0.0%</c:formatCode>
                <c:ptCount val="8"/>
                <c:pt idx="0">
                  <c:v>4.2105263157894743E-2</c:v>
                </c:pt>
                <c:pt idx="1">
                  <c:v>9.4736842105263161E-2</c:v>
                </c:pt>
                <c:pt idx="2">
                  <c:v>0.15789473684210525</c:v>
                </c:pt>
                <c:pt idx="3">
                  <c:v>0.2</c:v>
                </c:pt>
                <c:pt idx="4">
                  <c:v>0.22105263157894736</c:v>
                </c:pt>
                <c:pt idx="5">
                  <c:v>0.2</c:v>
                </c:pt>
                <c:pt idx="6">
                  <c:v>9.4736842105263161E-2</c:v>
                </c:pt>
                <c:pt idx="7">
                  <c:v>4.2105263157894743E-2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3984"/>
        <c:axId val="41768064"/>
      </c:lineChart>
      <c:catAx>
        <c:axId val="4175398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1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6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1753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99CC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22" r="0.75000000000000022" t="1" header="0.5" footer="0.5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87702093370145E-2"/>
          <c:y val="0.17073196147931574"/>
          <c:w val="0.87640509541035883"/>
          <c:h val="0.61280579030968718"/>
        </c:manualLayout>
      </c:layout>
      <c:lineChart>
        <c:grouping val="standard"/>
        <c:varyColors val="0"/>
        <c:ser>
          <c:idx val="0"/>
          <c:order val="0"/>
          <c:tx>
            <c:v>Cash Flow Attualizzato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'Business Plan'!$C$15:$M$15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'Business Plan'!$C$57:$M$57</c:f>
              <c:numCache>
                <c:formatCode>#,##0</c:formatCode>
                <c:ptCount val="11"/>
                <c:pt idx="0" formatCode="#,##0_ ;\-#,##0\ 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Cash Flow Non Attualizzato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'Business Plan'!$C$15:$M$15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'Business Plan'!$C$78:$M$78</c:f>
              <c:numCache>
                <c:formatCode>#,##0_ ;\-#,##0\ 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6400"/>
        <c:axId val="42985344"/>
      </c:lineChart>
      <c:catAx>
        <c:axId val="4296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Anno</a:t>
                </a:r>
              </a:p>
            </c:rich>
          </c:tx>
          <c:layout>
            <c:manualLayout>
              <c:xMode val="edge"/>
              <c:yMode val="edge"/>
              <c:x val="0.50000029490695685"/>
              <c:y val="0.881098779566500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298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98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Euro</a:t>
                </a:r>
              </a:p>
            </c:rich>
          </c:tx>
          <c:layout>
            <c:manualLayout>
              <c:xMode val="edge"/>
              <c:yMode val="edge"/>
              <c:x val="2.247191011235955E-2"/>
              <c:y val="0.420732260099535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429664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12359550561797"/>
          <c:y val="2.3738872403560832E-2"/>
          <c:w val="0.5491573033707865"/>
          <c:h val="7.4183976261127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0022" r="0.75000000000000022" t="1" header="0.5" footer="0.5"/>
    <c:pageSetup/>
  </c:printSettings>
</c:chartSpace>
</file>

<file path=xl/ctrlProps/ctrlProp1.xml><?xml version="1.0" encoding="utf-8"?>
<formControlPr xmlns="http://schemas.microsoft.com/office/spreadsheetml/2009/9/main" objectType="Drop" dropLines="4" dropStyle="combo" dx="16" fmlaLink="$C$43" fmlaRange="Tabella_tipo_gas" noThreeD="1" val="0"/>
</file>

<file path=xl/ctrlProps/ctrlProp10.xml><?xml version="1.0" encoding="utf-8"?>
<formControlPr xmlns="http://schemas.microsoft.com/office/spreadsheetml/2009/9/main" objectType="Radio" checked="Checked" firstButton="1" fmlaLink="$C$48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Spin" dx="16" fmlaLink="#REF!" max="1000" page="10" val="0"/>
</file>

<file path=xl/ctrlProps/ctrlProp13.xml><?xml version="1.0" encoding="utf-8"?>
<formControlPr xmlns="http://schemas.microsoft.com/office/spreadsheetml/2009/9/main" objectType="Spin" dx="16" fmlaLink="$D$23" max="1000" page="10" val="0"/>
</file>

<file path=xl/ctrlProps/ctrlProp14.xml><?xml version="1.0" encoding="utf-8"?>
<formControlPr xmlns="http://schemas.microsoft.com/office/spreadsheetml/2009/9/main" objectType="Spin" dx="16" fmlaLink="$D$33" max="1000" page="10" val="0"/>
</file>

<file path=xl/ctrlProps/ctrlProp15.xml><?xml version="1.0" encoding="utf-8"?>
<formControlPr xmlns="http://schemas.microsoft.com/office/spreadsheetml/2009/9/main" objectType="Spin" dx="16" fmlaLink="$D$23" max="1000" page="10" val="0"/>
</file>

<file path=xl/ctrlProps/ctrlProp16.xml><?xml version="1.0" encoding="utf-8"?>
<formControlPr xmlns="http://schemas.microsoft.com/office/spreadsheetml/2009/9/main" objectType="Spin" dx="16" fmlaLink="$D$21" max="1000" page="10" val="0"/>
</file>

<file path=xl/ctrlProps/ctrlProp17.xml><?xml version="1.0" encoding="utf-8"?>
<formControlPr xmlns="http://schemas.microsoft.com/office/spreadsheetml/2009/9/main" objectType="Spin" dx="16" fmlaLink="$D$23" max="1000" page="10" val="0"/>
</file>

<file path=xl/ctrlProps/ctrlProp18.xml><?xml version="1.0" encoding="utf-8"?>
<formControlPr xmlns="http://schemas.microsoft.com/office/spreadsheetml/2009/9/main" objectType="Spin" dx="16" fmlaLink="$D$35" max="1000" page="10" val="0"/>
</file>

<file path=xl/ctrlProps/ctrlProp19.xml><?xml version="1.0" encoding="utf-8"?>
<formControlPr xmlns="http://schemas.microsoft.com/office/spreadsheetml/2009/9/main" objectType="Spin" dx="16" fmlaLink="$D$24" max="1000" page="10" val="0"/>
</file>

<file path=xl/ctrlProps/ctrlProp2.xml><?xml version="1.0" encoding="utf-8"?>
<formControlPr xmlns="http://schemas.microsoft.com/office/spreadsheetml/2009/9/main" objectType="Spin" dx="16" fmlaLink="$D$21" max="1000" page="10" val="0"/>
</file>

<file path=xl/ctrlProps/ctrlProp20.xml><?xml version="1.0" encoding="utf-8"?>
<formControlPr xmlns="http://schemas.microsoft.com/office/spreadsheetml/2009/9/main" objectType="Spin" dx="16" fmlaLink="$D$24" max="1000" page="10" val="0"/>
</file>

<file path=xl/ctrlProps/ctrlProp21.xml><?xml version="1.0" encoding="utf-8"?>
<formControlPr xmlns="http://schemas.microsoft.com/office/spreadsheetml/2009/9/main" objectType="Spin" dx="16" fmlaLink="$D$24" max="1000" page="10" val="0"/>
</file>

<file path=xl/ctrlProps/ctrlProp22.xml><?xml version="1.0" encoding="utf-8"?>
<formControlPr xmlns="http://schemas.microsoft.com/office/spreadsheetml/2009/9/main" objectType="Spin" dx="16" fmlaLink="$D$24" max="1000" page="10" val="0"/>
</file>

<file path=xl/ctrlProps/ctrlProp23.xml><?xml version="1.0" encoding="utf-8"?>
<formControlPr xmlns="http://schemas.microsoft.com/office/spreadsheetml/2009/9/main" objectType="Spin" dx="16" fmlaLink="$D$24" max="1000" page="10" val="0"/>
</file>

<file path=xl/ctrlProps/ctrlProp24.xml><?xml version="1.0" encoding="utf-8"?>
<formControlPr xmlns="http://schemas.microsoft.com/office/spreadsheetml/2009/9/main" objectType="Spin" dx="16" fmlaLink="$D$24" max="1000" page="10" val="0"/>
</file>

<file path=xl/ctrlProps/ctrlProp25.xml><?xml version="1.0" encoding="utf-8"?>
<formControlPr xmlns="http://schemas.microsoft.com/office/spreadsheetml/2009/9/main" objectType="Spin" dx="16" fmlaLink="$D$24" max="1000" page="10" val="0"/>
</file>

<file path=xl/ctrlProps/ctrlProp26.xml><?xml version="1.0" encoding="utf-8"?>
<formControlPr xmlns="http://schemas.microsoft.com/office/spreadsheetml/2009/9/main" objectType="Drop" dropLines="16" dropStyle="combo" dx="16" fmlaLink="$C$80" fmlaRange="Tabella_caratteristiche_ghp" noThreeD="1" sel="15" val="0"/>
</file>

<file path=xl/ctrlProps/ctrlProp27.xml><?xml version="1.0" encoding="utf-8"?>
<formControlPr xmlns="http://schemas.microsoft.com/office/spreadsheetml/2009/9/main" objectType="Drop" dropLines="16" dropStyle="combo" dx="16" fmlaLink="$D$80" fmlaRange="Tabella_caratteristiche_ghp" noThreeD="1" sel="15" val="0"/>
</file>

<file path=xl/ctrlProps/ctrlProp28.xml><?xml version="1.0" encoding="utf-8"?>
<formControlPr xmlns="http://schemas.microsoft.com/office/spreadsheetml/2009/9/main" objectType="Spin" dx="16" fmlaLink="$E$10" max="30000" page="10" val="0"/>
</file>

<file path=xl/ctrlProps/ctrlProp29.xml><?xml version="1.0" encoding="utf-8"?>
<formControlPr xmlns="http://schemas.microsoft.com/office/spreadsheetml/2009/9/main" objectType="Spin" dx="16" fmlaLink="$F$10" max="30000" page="10" val="0"/>
</file>

<file path=xl/ctrlProps/ctrlProp3.xml><?xml version="1.0" encoding="utf-8"?>
<formControlPr xmlns="http://schemas.microsoft.com/office/spreadsheetml/2009/9/main" objectType="Spin" dx="16" fmlaLink="$D$23" max="1000" page="10" val="0"/>
</file>

<file path=xl/ctrlProps/ctrlProp30.xml><?xml version="1.0" encoding="utf-8"?>
<formControlPr xmlns="http://schemas.microsoft.com/office/spreadsheetml/2009/9/main" objectType="Spin" dx="16" fmlaLink="$K$10" max="30000" page="10" val="0"/>
</file>

<file path=xl/ctrlProps/ctrlProp31.xml><?xml version="1.0" encoding="utf-8"?>
<formControlPr xmlns="http://schemas.microsoft.com/office/spreadsheetml/2009/9/main" objectType="Spin" dx="16" fmlaLink="$N$10" max="30000" page="10" val="0"/>
</file>

<file path=xl/ctrlProps/ctrlProp32.xml><?xml version="1.0" encoding="utf-8"?>
<formControlPr xmlns="http://schemas.microsoft.com/office/spreadsheetml/2009/9/main" objectType="Drop" dropLines="16" dropStyle="combo" dx="16" fmlaLink="$E$80" fmlaRange="Tabella_caratteristiche_ghp" noThreeD="1" sel="15" val="0"/>
</file>

<file path=xl/ctrlProps/ctrlProp33.xml><?xml version="1.0" encoding="utf-8"?>
<formControlPr xmlns="http://schemas.microsoft.com/office/spreadsheetml/2009/9/main" objectType="Spin" dx="16" fmlaLink="$G$10" max="30000" page="10" val="0"/>
</file>

<file path=xl/ctrlProps/ctrlProp34.xml><?xml version="1.0" encoding="utf-8"?>
<formControlPr xmlns="http://schemas.microsoft.com/office/spreadsheetml/2009/9/main" objectType="Spin" dx="16" fmlaLink="$Q$10" max="30000" page="10" val="0"/>
</file>

<file path=xl/ctrlProps/ctrlProp35.xml><?xml version="1.0" encoding="utf-8"?>
<formControlPr xmlns="http://schemas.microsoft.com/office/spreadsheetml/2009/9/main" objectType="Drop" dropLines="16" dropStyle="combo" dx="16" fmlaLink="$C$87" fmlaRange="Specchio!$A$12:$A$18" noThreeD="1" sel="7" val="0"/>
</file>

<file path=xl/ctrlProps/ctrlProp36.xml><?xml version="1.0" encoding="utf-8"?>
<formControlPr xmlns="http://schemas.microsoft.com/office/spreadsheetml/2009/9/main" objectType="Drop" dropLines="16" dropStyle="combo" dx="16" fmlaLink="$C$86" fmlaRange="'3-Caratteristiche dei sistemi'!$C$84:$C$85" noThreeD="1" sel="2" val="0"/>
</file>

<file path=xl/ctrlProps/ctrlProp37.xml><?xml version="1.0" encoding="utf-8"?>
<formControlPr xmlns="http://schemas.microsoft.com/office/spreadsheetml/2009/9/main" objectType="Drop" dropLines="16" dropStyle="combo" dx="16" fmlaLink="$D$86" fmlaRange="'3-Caratteristiche dei sistemi'!$C$84:$C$85" noThreeD="1" sel="2" val="0"/>
</file>

<file path=xl/ctrlProps/ctrlProp38.xml><?xml version="1.0" encoding="utf-8"?>
<formControlPr xmlns="http://schemas.microsoft.com/office/spreadsheetml/2009/9/main" objectType="Drop" dropLines="16" dropStyle="combo" dx="16" fmlaLink="$E$86" fmlaRange="'3-Caratteristiche dei sistemi'!$C$84:$C$85" noThreeD="1" sel="2" val="0"/>
</file>

<file path=xl/ctrlProps/ctrlProp39.xml><?xml version="1.0" encoding="utf-8"?>
<formControlPr xmlns="http://schemas.microsoft.com/office/spreadsheetml/2009/9/main" objectType="Drop" dropLines="16" dropStyle="combo" dx="16" fmlaLink="$D$87" fmlaRange="Specchio!$A$12:$A$18" noThreeD="1" sel="7" val="0"/>
</file>

<file path=xl/ctrlProps/ctrlProp4.xml><?xml version="1.0" encoding="utf-8"?>
<formControlPr xmlns="http://schemas.microsoft.com/office/spreadsheetml/2009/9/main" objectType="Spin" dx="16" fmlaLink="$D$21" max="1000" page="10" val="0"/>
</file>

<file path=xl/ctrlProps/ctrlProp40.xml><?xml version="1.0" encoding="utf-8"?>
<formControlPr xmlns="http://schemas.microsoft.com/office/spreadsheetml/2009/9/main" objectType="Drop" dropLines="16" dropStyle="combo" dx="16" fmlaLink="$E$87" fmlaRange="Specchio!$A$12:$A$18" noThreeD="1" sel="7" val="0"/>
</file>

<file path=xl/ctrlProps/ctrlProp5.xml><?xml version="1.0" encoding="utf-8"?>
<formControlPr xmlns="http://schemas.microsoft.com/office/spreadsheetml/2009/9/main" objectType="Spin" dx="16" fmlaLink="$D$23" max="1000" page="10" val="0"/>
</file>

<file path=xl/ctrlProps/ctrlProp6.xml><?xml version="1.0" encoding="utf-8"?>
<formControlPr xmlns="http://schemas.microsoft.com/office/spreadsheetml/2009/9/main" objectType="Drop" dropLines="6" dropStyle="combo" dx="16" fmlaLink="$C$42" fmlaRange="Tabella_tipo_impianto" noThreeD="1" val="0"/>
</file>

<file path=xl/ctrlProps/ctrlProp7.xml><?xml version="1.0" encoding="utf-8"?>
<formControlPr xmlns="http://schemas.microsoft.com/office/spreadsheetml/2009/9/main" objectType="Spin" dx="16" fmlaLink="$D$37" max="1000" page="10" val="0"/>
</file>

<file path=xl/ctrlProps/ctrlProp8.xml><?xml version="1.0" encoding="utf-8"?>
<formControlPr xmlns="http://schemas.microsoft.com/office/spreadsheetml/2009/9/main" objectType="Spin" dx="16" fmlaLink="#REF!" max="1000" page="10" val="0"/>
</file>

<file path=xl/ctrlProps/ctrlProp9.xml><?xml version="1.0" encoding="utf-8"?>
<formControlPr xmlns="http://schemas.microsoft.com/office/spreadsheetml/2009/9/main" objectType="Spin" dx="16" fmlaLink="$D$24" max="1000" page="1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51</xdr:row>
      <xdr:rowOff>0</xdr:rowOff>
    </xdr:from>
    <xdr:to>
      <xdr:col>15</xdr:col>
      <xdr:colOff>123825</xdr:colOff>
      <xdr:row>65</xdr:row>
      <xdr:rowOff>114300</xdr:rowOff>
    </xdr:to>
    <xdr:graphicFrame macro="">
      <xdr:nvGraphicFramePr>
        <xdr:cNvPr id="266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962025</xdr:colOff>
          <xdr:row>3</xdr:row>
          <xdr:rowOff>19050</xdr:rowOff>
        </xdr:from>
        <xdr:to>
          <xdr:col>3</xdr:col>
          <xdr:colOff>1123950</xdr:colOff>
          <xdr:row>3</xdr:row>
          <xdr:rowOff>361950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20</xdr:row>
          <xdr:rowOff>47625</xdr:rowOff>
        </xdr:from>
        <xdr:to>
          <xdr:col>3</xdr:col>
          <xdr:colOff>190500</xdr:colOff>
          <xdr:row>21</xdr:row>
          <xdr:rowOff>28575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22</xdr:row>
          <xdr:rowOff>57150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29" name="Spinner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22</xdr:row>
          <xdr:rowOff>57150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34" name="Spinner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22</xdr:row>
          <xdr:rowOff>57150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35" name="Spinner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962025</xdr:colOff>
          <xdr:row>2</xdr:row>
          <xdr:rowOff>19050</xdr:rowOff>
        </xdr:from>
        <xdr:to>
          <xdr:col>3</xdr:col>
          <xdr:colOff>1123950</xdr:colOff>
          <xdr:row>3</xdr:row>
          <xdr:rowOff>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36</xdr:row>
          <xdr:rowOff>76200</xdr:rowOff>
        </xdr:from>
        <xdr:to>
          <xdr:col>3</xdr:col>
          <xdr:colOff>190500</xdr:colOff>
          <xdr:row>37</xdr:row>
          <xdr:rowOff>57150</xdr:rowOff>
        </xdr:to>
        <xdr:sp macro="" textlink="">
          <xdr:nvSpPr>
            <xdr:cNvPr id="1052" name="Spinner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38</xdr:row>
          <xdr:rowOff>66675</xdr:rowOff>
        </xdr:from>
        <xdr:to>
          <xdr:col>3</xdr:col>
          <xdr:colOff>190500</xdr:colOff>
          <xdr:row>38</xdr:row>
          <xdr:rowOff>66675</xdr:rowOff>
        </xdr:to>
        <xdr:sp macro="" textlink="">
          <xdr:nvSpPr>
            <xdr:cNvPr id="1053" name="Spinner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56" name="Spinner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</xdr:row>
          <xdr:rowOff>19050</xdr:rowOff>
        </xdr:from>
        <xdr:to>
          <xdr:col>3</xdr:col>
          <xdr:colOff>1028700</xdr:colOff>
          <xdr:row>7</xdr:row>
          <xdr:rowOff>352425</xdr:rowOff>
        </xdr:to>
        <xdr:sp macro="" textlink="">
          <xdr:nvSpPr>
            <xdr:cNvPr id="1059" name="Option Butto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INSERIMENTO MANUALE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</xdr:row>
          <xdr:rowOff>238125</xdr:rowOff>
        </xdr:from>
        <xdr:to>
          <xdr:col>3</xdr:col>
          <xdr:colOff>904875</xdr:colOff>
          <xdr:row>8</xdr:row>
          <xdr:rowOff>9525</xdr:rowOff>
        </xdr:to>
        <xdr:sp macro="" textlink=""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it-IT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DATI STANDARD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66675</xdr:rowOff>
        </xdr:from>
        <xdr:to>
          <xdr:col>3</xdr:col>
          <xdr:colOff>180975</xdr:colOff>
          <xdr:row>38</xdr:row>
          <xdr:rowOff>66675</xdr:rowOff>
        </xdr:to>
        <xdr:sp macro="" textlink="">
          <xdr:nvSpPr>
            <xdr:cNvPr id="1066" name="Spinner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68" name="Spinner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32</xdr:row>
          <xdr:rowOff>66675</xdr:rowOff>
        </xdr:from>
        <xdr:to>
          <xdr:col>3</xdr:col>
          <xdr:colOff>190500</xdr:colOff>
          <xdr:row>33</xdr:row>
          <xdr:rowOff>47625</xdr:rowOff>
        </xdr:to>
        <xdr:sp macro="" textlink="">
          <xdr:nvSpPr>
            <xdr:cNvPr id="1071" name="Spinner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33</xdr:row>
          <xdr:rowOff>47625</xdr:rowOff>
        </xdr:from>
        <xdr:to>
          <xdr:col>3</xdr:col>
          <xdr:colOff>190500</xdr:colOff>
          <xdr:row>33</xdr:row>
          <xdr:rowOff>47625</xdr:rowOff>
        </xdr:to>
        <xdr:sp macro="" textlink="">
          <xdr:nvSpPr>
            <xdr:cNvPr id="1072" name="Spinner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33</xdr:row>
          <xdr:rowOff>47625</xdr:rowOff>
        </xdr:from>
        <xdr:to>
          <xdr:col>3</xdr:col>
          <xdr:colOff>190500</xdr:colOff>
          <xdr:row>33</xdr:row>
          <xdr:rowOff>47625</xdr:rowOff>
        </xdr:to>
        <xdr:sp macro="" textlink="">
          <xdr:nvSpPr>
            <xdr:cNvPr id="1073" name="Spinner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33</xdr:row>
          <xdr:rowOff>47625</xdr:rowOff>
        </xdr:from>
        <xdr:to>
          <xdr:col>3</xdr:col>
          <xdr:colOff>190500</xdr:colOff>
          <xdr:row>33</xdr:row>
          <xdr:rowOff>47625</xdr:rowOff>
        </xdr:to>
        <xdr:sp macro="" textlink="">
          <xdr:nvSpPr>
            <xdr:cNvPr id="1074" name="Spinner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34</xdr:row>
          <xdr:rowOff>66675</xdr:rowOff>
        </xdr:from>
        <xdr:to>
          <xdr:col>3</xdr:col>
          <xdr:colOff>190500</xdr:colOff>
          <xdr:row>35</xdr:row>
          <xdr:rowOff>47625</xdr:rowOff>
        </xdr:to>
        <xdr:sp macro="" textlink="">
          <xdr:nvSpPr>
            <xdr:cNvPr id="1075" name="Spinner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76" name="Spinner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77" name="Spinner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78" name="Spinner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79" name="Spinner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80" name="Spinner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81" name="Spinner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38100</xdr:rowOff>
        </xdr:from>
        <xdr:to>
          <xdr:col>3</xdr:col>
          <xdr:colOff>190500</xdr:colOff>
          <xdr:row>31</xdr:row>
          <xdr:rowOff>38100</xdr:rowOff>
        </xdr:to>
        <xdr:sp macro="" textlink="">
          <xdr:nvSpPr>
            <xdr:cNvPr id="1082" name="Spinner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</xdr:row>
          <xdr:rowOff>9525</xdr:rowOff>
        </xdr:from>
        <xdr:to>
          <xdr:col>4</xdr:col>
          <xdr:colOff>1409700</xdr:colOff>
          <xdr:row>6</xdr:row>
          <xdr:rowOff>361950</xdr:rowOff>
        </xdr:to>
        <xdr:sp macro="" textlink="">
          <xdr:nvSpPr>
            <xdr:cNvPr id="4110" name="Drop Down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6</xdr:row>
          <xdr:rowOff>9525</xdr:rowOff>
        </xdr:from>
        <xdr:to>
          <xdr:col>5</xdr:col>
          <xdr:colOff>1409700</xdr:colOff>
          <xdr:row>6</xdr:row>
          <xdr:rowOff>361950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9</xdr:row>
          <xdr:rowOff>9525</xdr:rowOff>
        </xdr:from>
        <xdr:to>
          <xdr:col>4</xdr:col>
          <xdr:colOff>228600</xdr:colOff>
          <xdr:row>10</xdr:row>
          <xdr:rowOff>0</xdr:rowOff>
        </xdr:to>
        <xdr:sp macro="" textlink="">
          <xdr:nvSpPr>
            <xdr:cNvPr id="4112" name="Spinner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9</xdr:row>
          <xdr:rowOff>9525</xdr:rowOff>
        </xdr:from>
        <xdr:to>
          <xdr:col>5</xdr:col>
          <xdr:colOff>228600</xdr:colOff>
          <xdr:row>10</xdr:row>
          <xdr:rowOff>0</xdr:rowOff>
        </xdr:to>
        <xdr:sp macro="" textlink="">
          <xdr:nvSpPr>
            <xdr:cNvPr id="4113" name="Spinner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9</xdr:row>
          <xdr:rowOff>9525</xdr:rowOff>
        </xdr:from>
        <xdr:to>
          <xdr:col>10</xdr:col>
          <xdr:colOff>228600</xdr:colOff>
          <xdr:row>10</xdr:row>
          <xdr:rowOff>0</xdr:rowOff>
        </xdr:to>
        <xdr:sp macro="" textlink="">
          <xdr:nvSpPr>
            <xdr:cNvPr id="4114" name="Spinner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9</xdr:row>
          <xdr:rowOff>9525</xdr:rowOff>
        </xdr:from>
        <xdr:to>
          <xdr:col>13</xdr:col>
          <xdr:colOff>228600</xdr:colOff>
          <xdr:row>10</xdr:row>
          <xdr:rowOff>0</xdr:rowOff>
        </xdr:to>
        <xdr:sp macro="" textlink="">
          <xdr:nvSpPr>
            <xdr:cNvPr id="4123" name="Spinner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9525</xdr:rowOff>
        </xdr:from>
        <xdr:to>
          <xdr:col>6</xdr:col>
          <xdr:colOff>1409700</xdr:colOff>
          <xdr:row>6</xdr:row>
          <xdr:rowOff>361950</xdr:rowOff>
        </xdr:to>
        <xdr:sp macro="" textlink="">
          <xdr:nvSpPr>
            <xdr:cNvPr id="4124" name="Drop Down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9</xdr:row>
          <xdr:rowOff>9525</xdr:rowOff>
        </xdr:from>
        <xdr:to>
          <xdr:col>6</xdr:col>
          <xdr:colOff>228600</xdr:colOff>
          <xdr:row>10</xdr:row>
          <xdr:rowOff>0</xdr:rowOff>
        </xdr:to>
        <xdr:sp macro="" textlink="">
          <xdr:nvSpPr>
            <xdr:cNvPr id="4125" name="Spinner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</xdr:row>
          <xdr:rowOff>9525</xdr:rowOff>
        </xdr:from>
        <xdr:to>
          <xdr:col>16</xdr:col>
          <xdr:colOff>228600</xdr:colOff>
          <xdr:row>10</xdr:row>
          <xdr:rowOff>0</xdr:rowOff>
        </xdr:to>
        <xdr:sp macro="" textlink="">
          <xdr:nvSpPr>
            <xdr:cNvPr id="4131" name="Spinner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</xdr:row>
          <xdr:rowOff>9525</xdr:rowOff>
        </xdr:from>
        <xdr:to>
          <xdr:col>12</xdr:col>
          <xdr:colOff>904875</xdr:colOff>
          <xdr:row>7</xdr:row>
          <xdr:rowOff>0</xdr:rowOff>
        </xdr:to>
        <xdr:sp macro="" textlink="">
          <xdr:nvSpPr>
            <xdr:cNvPr id="4136" name="Drop Down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28575</xdr:rowOff>
        </xdr:from>
        <xdr:to>
          <xdr:col>4</xdr:col>
          <xdr:colOff>1419225</xdr:colOff>
          <xdr:row>19</xdr:row>
          <xdr:rowOff>381000</xdr:rowOff>
        </xdr:to>
        <xdr:sp macro="" textlink="">
          <xdr:nvSpPr>
            <xdr:cNvPr id="4139" name="Drop Down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19</xdr:row>
          <xdr:rowOff>28575</xdr:rowOff>
        </xdr:from>
        <xdr:to>
          <xdr:col>5</xdr:col>
          <xdr:colOff>1400175</xdr:colOff>
          <xdr:row>19</xdr:row>
          <xdr:rowOff>381000</xdr:rowOff>
        </xdr:to>
        <xdr:sp macro="" textlink="">
          <xdr:nvSpPr>
            <xdr:cNvPr id="4140" name="Drop Down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19</xdr:row>
          <xdr:rowOff>28575</xdr:rowOff>
        </xdr:from>
        <xdr:to>
          <xdr:col>6</xdr:col>
          <xdr:colOff>1400175</xdr:colOff>
          <xdr:row>19</xdr:row>
          <xdr:rowOff>381000</xdr:rowOff>
        </xdr:to>
        <xdr:sp macro="" textlink="">
          <xdr:nvSpPr>
            <xdr:cNvPr id="4141" name="Drop Down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6</xdr:row>
          <xdr:rowOff>9525</xdr:rowOff>
        </xdr:from>
        <xdr:to>
          <xdr:col>15</xdr:col>
          <xdr:colOff>914400</xdr:colOff>
          <xdr:row>7</xdr:row>
          <xdr:rowOff>0</xdr:rowOff>
        </xdr:to>
        <xdr:sp macro="" textlink="">
          <xdr:nvSpPr>
            <xdr:cNvPr id="4143" name="Drop Down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6</xdr:row>
          <xdr:rowOff>19050</xdr:rowOff>
        </xdr:from>
        <xdr:to>
          <xdr:col>19</xdr:col>
          <xdr:colOff>0</xdr:colOff>
          <xdr:row>7</xdr:row>
          <xdr:rowOff>0</xdr:rowOff>
        </xdr:to>
        <xdr:sp macro="" textlink="">
          <xdr:nvSpPr>
            <xdr:cNvPr id="4144" name="Drop Down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933450</xdr:colOff>
      <xdr:row>57</xdr:row>
      <xdr:rowOff>38100</xdr:rowOff>
    </xdr:from>
    <xdr:to>
      <xdr:col>13</xdr:col>
      <xdr:colOff>142875</xdr:colOff>
      <xdr:row>57</xdr:row>
      <xdr:rowOff>1447800</xdr:rowOff>
    </xdr:to>
    <xdr:grpSp>
      <xdr:nvGrpSpPr>
        <xdr:cNvPr id="28690" name="Group 8"/>
        <xdr:cNvGrpSpPr>
          <a:grpSpLocks noChangeAspect="1"/>
        </xdr:cNvGrpSpPr>
      </xdr:nvGrpSpPr>
      <xdr:grpSpPr bwMode="auto">
        <a:xfrm>
          <a:off x="14839950" y="11260282"/>
          <a:ext cx="6379152" cy="1409700"/>
          <a:chOff x="414" y="935"/>
          <a:chExt cx="2693" cy="765"/>
        </a:xfrm>
      </xdr:grpSpPr>
      <xdr:pic>
        <xdr:nvPicPr>
          <xdr:cNvPr id="28705" name="Picture 9" descr="firma e-mail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9710" r="37500" b="28737"/>
          <a:stretch>
            <a:fillRect/>
          </a:stretch>
        </xdr:blipFill>
        <xdr:spPr bwMode="auto">
          <a:xfrm>
            <a:off x="414" y="935"/>
            <a:ext cx="2319" cy="4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706" name="Picture 10" descr="firma e-mail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8225" r="37500"/>
          <a:stretch>
            <a:fillRect/>
          </a:stretch>
        </xdr:blipFill>
        <xdr:spPr bwMode="auto">
          <a:xfrm>
            <a:off x="414" y="1332"/>
            <a:ext cx="2693" cy="3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1257300</xdr:colOff>
      <xdr:row>51</xdr:row>
      <xdr:rowOff>-1</xdr:rowOff>
    </xdr:to>
    <xdr:pic>
      <xdr:nvPicPr>
        <xdr:cNvPr id="28691" name="Picture 11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57300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1257300</xdr:colOff>
      <xdr:row>58</xdr:row>
      <xdr:rowOff>0</xdr:rowOff>
    </xdr:to>
    <xdr:pic>
      <xdr:nvPicPr>
        <xdr:cNvPr id="28692" name="Picture 12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57300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1266825</xdr:colOff>
      <xdr:row>51</xdr:row>
      <xdr:rowOff>19049</xdr:rowOff>
    </xdr:to>
    <xdr:pic>
      <xdr:nvPicPr>
        <xdr:cNvPr id="28693" name="Picture 46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66825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1247775</xdr:colOff>
      <xdr:row>51</xdr:row>
      <xdr:rowOff>19049</xdr:rowOff>
    </xdr:to>
    <xdr:pic>
      <xdr:nvPicPr>
        <xdr:cNvPr id="28694" name="Picture 47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47775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1266825</xdr:colOff>
      <xdr:row>58</xdr:row>
      <xdr:rowOff>0</xdr:rowOff>
    </xdr:to>
    <xdr:pic>
      <xdr:nvPicPr>
        <xdr:cNvPr id="28695" name="Picture 48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66825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1247775</xdr:colOff>
      <xdr:row>58</xdr:row>
      <xdr:rowOff>0</xdr:rowOff>
    </xdr:to>
    <xdr:pic>
      <xdr:nvPicPr>
        <xdr:cNvPr id="28696" name="Picture 49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47775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1257300</xdr:colOff>
      <xdr:row>51</xdr:row>
      <xdr:rowOff>-1</xdr:rowOff>
    </xdr:to>
    <xdr:pic>
      <xdr:nvPicPr>
        <xdr:cNvPr id="28697" name="Picture 11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57300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1257300</xdr:colOff>
      <xdr:row>58</xdr:row>
      <xdr:rowOff>0</xdr:rowOff>
    </xdr:to>
    <xdr:pic>
      <xdr:nvPicPr>
        <xdr:cNvPr id="28698" name="Picture 12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57300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1266825</xdr:colOff>
      <xdr:row>51</xdr:row>
      <xdr:rowOff>19049</xdr:rowOff>
    </xdr:to>
    <xdr:pic>
      <xdr:nvPicPr>
        <xdr:cNvPr id="28699" name="Picture 46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66825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1247775</xdr:colOff>
      <xdr:row>51</xdr:row>
      <xdr:rowOff>19049</xdr:rowOff>
    </xdr:to>
    <xdr:pic>
      <xdr:nvPicPr>
        <xdr:cNvPr id="28700" name="Picture 47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47775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1266825</xdr:colOff>
      <xdr:row>58</xdr:row>
      <xdr:rowOff>0</xdr:rowOff>
    </xdr:to>
    <xdr:pic>
      <xdr:nvPicPr>
        <xdr:cNvPr id="28701" name="Picture 48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66825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1247775</xdr:colOff>
      <xdr:row>58</xdr:row>
      <xdr:rowOff>0</xdr:rowOff>
    </xdr:to>
    <xdr:pic>
      <xdr:nvPicPr>
        <xdr:cNvPr id="28702" name="Picture 49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47775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1257300</xdr:colOff>
      <xdr:row>51</xdr:row>
      <xdr:rowOff>-1</xdr:rowOff>
    </xdr:to>
    <xdr:pic>
      <xdr:nvPicPr>
        <xdr:cNvPr id="28703" name="Picture 11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257300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19050</xdr:rowOff>
    </xdr:from>
    <xdr:to>
      <xdr:col>0</xdr:col>
      <xdr:colOff>1257300</xdr:colOff>
      <xdr:row>58</xdr:row>
      <xdr:rowOff>0</xdr:rowOff>
    </xdr:to>
    <xdr:pic>
      <xdr:nvPicPr>
        <xdr:cNvPr id="28704" name="Picture 12" descr="FestaAlber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1257300" cy="1809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1371600</xdr:colOff>
      <xdr:row>0</xdr:row>
      <xdr:rowOff>152400</xdr:rowOff>
    </xdr:from>
    <xdr:to>
      <xdr:col>10</xdr:col>
      <xdr:colOff>390525</xdr:colOff>
      <xdr:row>2</xdr:row>
      <xdr:rowOff>19050</xdr:rowOff>
    </xdr:to>
    <xdr:sp macro="" textlink="">
      <xdr:nvSpPr>
        <xdr:cNvPr id="12290" name="WordArt 2"/>
        <xdr:cNvSpPr>
          <a:spLocks noChangeArrowheads="1" noChangeShapeType="1" noTextEdit="1"/>
        </xdr:cNvSpPr>
      </xdr:nvSpPr>
      <xdr:spPr bwMode="auto">
        <a:xfrm>
          <a:off x="1485900" y="152400"/>
          <a:ext cx="8515350" cy="4381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it-IT" sz="2400" b="1" u="sng" strike="sngStrike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C0C0C0"/>
              </a:solidFill>
              <a:latin typeface="Arial Black"/>
            </a:rPr>
            <a:t>Business Plan</a:t>
          </a:r>
        </a:p>
      </xdr:txBody>
    </xdr:sp>
    <xdr:clientData/>
  </xdr:twoCellAnchor>
  <xdr:twoCellAnchor>
    <xdr:from>
      <xdr:col>4</xdr:col>
      <xdr:colOff>19050</xdr:colOff>
      <xdr:row>58</xdr:row>
      <xdr:rowOff>0</xdr:rowOff>
    </xdr:from>
    <xdr:to>
      <xdr:col>12</xdr:col>
      <xdr:colOff>19050</xdr:colOff>
      <xdr:row>74</xdr:row>
      <xdr:rowOff>104775</xdr:rowOff>
    </xdr:to>
    <xdr:graphicFrame macro="">
      <xdr:nvGraphicFramePr>
        <xdr:cNvPr id="307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1194954</xdr:colOff>
      <xdr:row>69</xdr:row>
      <xdr:rowOff>86593</xdr:rowOff>
    </xdr:from>
    <xdr:to>
      <xdr:col>10</xdr:col>
      <xdr:colOff>294410</xdr:colOff>
      <xdr:row>74</xdr:row>
      <xdr:rowOff>51956</xdr:rowOff>
    </xdr:to>
    <xdr:sp macro="" textlink="">
      <xdr:nvSpPr>
        <xdr:cNvPr id="3" name="Rettangolo arrotondato 2"/>
        <xdr:cNvSpPr>
          <a:spLocks/>
        </xdr:cNvSpPr>
      </xdr:nvSpPr>
      <xdr:spPr>
        <a:xfrm>
          <a:off x="18651681" y="15707593"/>
          <a:ext cx="3671456" cy="1004454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it-IT" sz="1600" b="1"/>
        </a:p>
      </xdr:txBody>
    </xdr:sp>
    <xdr:clientData/>
  </xdr:twoCellAnchor>
  <xdr:twoCellAnchor editAs="oneCell">
    <xdr:from>
      <xdr:col>7</xdr:col>
      <xdr:colOff>207819</xdr:colOff>
      <xdr:row>44</xdr:row>
      <xdr:rowOff>57330</xdr:rowOff>
    </xdr:from>
    <xdr:to>
      <xdr:col>7</xdr:col>
      <xdr:colOff>1467819</xdr:colOff>
      <xdr:row>49</xdr:row>
      <xdr:rowOff>97224</xdr:rowOff>
    </xdr:to>
    <xdr:pic>
      <xdr:nvPicPr>
        <xdr:cNvPr id="10" name="Picture 2" descr="C:\Users\andrea.zagaglia\Downloads\inspiration-1514296_1920.jpg"/>
        <xdr:cNvPicPr>
          <a:picLocks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664546" y="10448239"/>
          <a:ext cx="1260000" cy="1072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  <a:extLst/>
      </xdr:spPr>
    </xdr:pic>
    <xdr:clientData/>
  </xdr:twoCellAnchor>
  <xdr:twoCellAnchor editAs="oneCell">
    <xdr:from>
      <xdr:col>7</xdr:col>
      <xdr:colOff>1557373</xdr:colOff>
      <xdr:row>44</xdr:row>
      <xdr:rowOff>69273</xdr:rowOff>
    </xdr:from>
    <xdr:to>
      <xdr:col>8</xdr:col>
      <xdr:colOff>635282</xdr:colOff>
      <xdr:row>49</xdr:row>
      <xdr:rowOff>109167</xdr:rowOff>
    </xdr:to>
    <xdr:pic>
      <xdr:nvPicPr>
        <xdr:cNvPr id="11" name="Picture 5" descr="C:\Users\andrea.zagaglia\Downloads\pexels-kaique-rocha-290617.jpg"/>
        <xdr:cNvPicPr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14100" y="10460182"/>
          <a:ext cx="1260000" cy="1072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  <a:extLst/>
      </xdr:spPr>
    </xdr:pic>
    <xdr:clientData/>
  </xdr:twoCellAnchor>
  <xdr:twoCellAnchor editAs="oneCell">
    <xdr:from>
      <xdr:col>8</xdr:col>
      <xdr:colOff>776574</xdr:colOff>
      <xdr:row>44</xdr:row>
      <xdr:rowOff>36349</xdr:rowOff>
    </xdr:from>
    <xdr:to>
      <xdr:col>9</xdr:col>
      <xdr:colOff>845948</xdr:colOff>
      <xdr:row>49</xdr:row>
      <xdr:rowOff>111745</xdr:rowOff>
    </xdr:to>
    <xdr:pic>
      <xdr:nvPicPr>
        <xdr:cNvPr id="12" name="Picture 3"/>
        <xdr:cNvPicPr>
          <a:picLocks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0800000" flipH="1">
          <a:off x="20350449" y="10037599"/>
          <a:ext cx="1260000" cy="1072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607359</xdr:colOff>
      <xdr:row>88</xdr:row>
      <xdr:rowOff>45772</xdr:rowOff>
    </xdr:from>
    <xdr:to>
      <xdr:col>1</xdr:col>
      <xdr:colOff>1555393</xdr:colOff>
      <xdr:row>98</xdr:row>
      <xdr:rowOff>151289</xdr:rowOff>
    </xdr:to>
    <xdr:pic>
      <xdr:nvPicPr>
        <xdr:cNvPr id="14" name="Segnaposto contenuto 5"/>
        <xdr:cNvPicPr>
          <a:picLocks noGrp="1"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359" y="16415165"/>
          <a:ext cx="1563077" cy="2146588"/>
        </a:xfrm>
        <a:prstGeom prst="rect">
          <a:avLst/>
        </a:prstGeom>
      </xdr:spPr>
    </xdr:pic>
    <xdr:clientData/>
  </xdr:twoCellAnchor>
  <xdr:twoCellAnchor editAs="oneCell">
    <xdr:from>
      <xdr:col>1</xdr:col>
      <xdr:colOff>1645944</xdr:colOff>
      <xdr:row>89</xdr:row>
      <xdr:rowOff>157472</xdr:rowOff>
    </xdr:from>
    <xdr:to>
      <xdr:col>2</xdr:col>
      <xdr:colOff>463344</xdr:colOff>
      <xdr:row>91</xdr:row>
      <xdr:rowOff>115041</xdr:rowOff>
    </xdr:to>
    <xdr:pic>
      <xdr:nvPicPr>
        <xdr:cNvPr id="15" name="Immagine 1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5960"/>
        <a:stretch/>
      </xdr:blipFill>
      <xdr:spPr>
        <a:xfrm>
          <a:off x="11851301" y="16730972"/>
          <a:ext cx="1225864" cy="365783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1677117</xdr:colOff>
      <xdr:row>91</xdr:row>
      <xdr:rowOff>1607</xdr:rowOff>
    </xdr:from>
    <xdr:to>
      <xdr:col>2</xdr:col>
      <xdr:colOff>494517</xdr:colOff>
      <xdr:row>92</xdr:row>
      <xdr:rowOff>88777</xdr:rowOff>
    </xdr:to>
    <xdr:pic>
      <xdr:nvPicPr>
        <xdr:cNvPr id="16" name="Immagine 1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432"/>
        <a:stretch/>
      </xdr:blipFill>
      <xdr:spPr>
        <a:xfrm>
          <a:off x="11882474" y="16983321"/>
          <a:ext cx="1225864" cy="291277"/>
        </a:xfrm>
        <a:prstGeom prst="rect">
          <a:avLst/>
        </a:prstGeom>
      </xdr:spPr>
    </xdr:pic>
    <xdr:clientData/>
  </xdr:twoCellAnchor>
  <xdr:twoCellAnchor editAs="oneCell">
    <xdr:from>
      <xdr:col>9</xdr:col>
      <xdr:colOff>1004455</xdr:colOff>
      <xdr:row>44</xdr:row>
      <xdr:rowOff>51956</xdr:rowOff>
    </xdr:from>
    <xdr:to>
      <xdr:col>10</xdr:col>
      <xdr:colOff>1069502</xdr:colOff>
      <xdr:row>49</xdr:row>
      <xdr:rowOff>91850</xdr:rowOff>
    </xdr:to>
    <xdr:pic>
      <xdr:nvPicPr>
        <xdr:cNvPr id="21" name="Picture 2" descr="C:\Users\andrea.zagaglia\Downloads\pexels-jesse-zheng-732548.jpg"/>
        <xdr:cNvPicPr>
          <a:picLocks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838228" y="10442865"/>
          <a:ext cx="1260000" cy="1072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  <a:extLst/>
      </xdr:spPr>
    </xdr:pic>
    <xdr:clientData/>
  </xdr:twoCellAnchor>
  <xdr:twoCellAnchor editAs="oneCell">
    <xdr:from>
      <xdr:col>0</xdr:col>
      <xdr:colOff>642937</xdr:colOff>
      <xdr:row>53</xdr:row>
      <xdr:rowOff>112256</xdr:rowOff>
    </xdr:from>
    <xdr:to>
      <xdr:col>6</xdr:col>
      <xdr:colOff>441552</xdr:colOff>
      <xdr:row>75</xdr:row>
      <xdr:rowOff>64631</xdr:rowOff>
    </xdr:to>
    <xdr:pic>
      <xdr:nvPicPr>
        <xdr:cNvPr id="22" name="Immagine 21" descr="C:\Users\andrea.zagaglia\Downloads\the-road-815297_1920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7937" y="11991292"/>
          <a:ext cx="6960054" cy="444273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7</xdr:col>
      <xdr:colOff>204107</xdr:colOff>
      <xdr:row>53</xdr:row>
      <xdr:rowOff>139780</xdr:rowOff>
    </xdr:from>
    <xdr:to>
      <xdr:col>11</xdr:col>
      <xdr:colOff>176893</xdr:colOff>
      <xdr:row>68</xdr:row>
      <xdr:rowOff>71744</xdr:rowOff>
    </xdr:to>
    <xdr:sp macro="" textlink="">
      <xdr:nvSpPr>
        <xdr:cNvPr id="24" name="CasellaDiTesto 23"/>
        <xdr:cNvSpPr txBox="1"/>
      </xdr:nvSpPr>
      <xdr:spPr>
        <a:xfrm>
          <a:off x="17660834" y="12435689"/>
          <a:ext cx="5739741" cy="304923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200"/>
            <a:t>Le </a:t>
          </a:r>
          <a:r>
            <a:rPr lang="it-IT" sz="1200" b="1"/>
            <a:t>pompe di calore AISIN</a:t>
          </a:r>
          <a:r>
            <a:rPr lang="it-IT" sz="1200"/>
            <a:t>  sono un’ottima soluzione per gli interventi di </a:t>
          </a:r>
          <a:r>
            <a:rPr lang="it-IT" sz="1200" b="1"/>
            <a:t>nuova costruzione e/o riqualificazione energetica</a:t>
          </a:r>
          <a:r>
            <a:rPr lang="it-IT" sz="1200"/>
            <a:t>. </a:t>
          </a:r>
          <a:r>
            <a:rPr lang="it-IT" sz="1200" b="1"/>
            <a:t>Accedono </a:t>
          </a:r>
          <a:r>
            <a:rPr lang="it-IT" sz="1200" b="0"/>
            <a:t>ai principali meccanismi di sostegno </a:t>
          </a:r>
          <a:r>
            <a:rPr lang="it-IT" sz="1200"/>
            <a:t>attivi in Italia come </a:t>
          </a:r>
          <a:r>
            <a:rPr lang="it-IT" sz="1200" b="1"/>
            <a:t>ECOBonus 65%, SuperBonus 110% e Conto Energia Termico</a:t>
          </a:r>
          <a:r>
            <a:rPr lang="it-IT" sz="1200"/>
            <a:t>.</a:t>
          </a:r>
        </a:p>
        <a:p>
          <a:endParaRPr lang="it-IT" sz="1200"/>
        </a:p>
        <a:p>
          <a:r>
            <a:rPr lang="it-IT" sz="1200" b="1"/>
            <a:t>Energia pulita e rinnovabile</a:t>
          </a:r>
          <a:r>
            <a:rPr lang="it-IT" sz="1200"/>
            <a:t>, rispetto per la natura, sostenibilità ed anche tecnologia all’avanguardia, </a:t>
          </a:r>
          <a:r>
            <a:rPr lang="it-IT" sz="1200" b="1"/>
            <a:t>alte performances annuali </a:t>
          </a:r>
          <a:r>
            <a:rPr lang="it-IT" sz="1200"/>
            <a:t>e design naturale sono le caratteristiche principali dei prodotti AISIN.</a:t>
          </a:r>
        </a:p>
        <a:p>
          <a:endParaRPr lang="it-IT" sz="1200"/>
        </a:p>
        <a:p>
          <a:r>
            <a:rPr lang="it-IT" sz="1200" b="1"/>
            <a:t>Ideali per i settori residenziale, terziario, commerciale e delle PMI </a:t>
          </a:r>
          <a:r>
            <a:rPr lang="it-IT" sz="1200"/>
            <a:t>, garantiscono una riduzione sia della potenza elettrica impegnata che dei consumi energetici, assicurando una </a:t>
          </a:r>
          <a:r>
            <a:rPr lang="it-IT" sz="1200" b="1"/>
            <a:t>netta riduzione dei costi energetici operativi</a:t>
          </a:r>
          <a:r>
            <a:rPr lang="it-IT" sz="1200"/>
            <a:t>. L’utilizzo di una fonte di energia primaria pulita e/o rinnovabile, permette sfruttare l’infrastruttura esistente, capillare ed efficiente del gas naturale, riducendo la necessità della realizzazione di un cabina elettrica in prossimità del consumatore.</a:t>
          </a:r>
        </a:p>
      </xdr:txBody>
    </xdr:sp>
    <xdr:clientData/>
  </xdr:twoCellAnchor>
  <xdr:twoCellAnchor editAs="oneCell">
    <xdr:from>
      <xdr:col>7</xdr:col>
      <xdr:colOff>1416377</xdr:colOff>
      <xdr:row>70</xdr:row>
      <xdr:rowOff>31162</xdr:rowOff>
    </xdr:from>
    <xdr:to>
      <xdr:col>8</xdr:col>
      <xdr:colOff>242453</xdr:colOff>
      <xdr:row>73</xdr:row>
      <xdr:rowOff>186688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3104" y="15859980"/>
          <a:ext cx="1008167" cy="778980"/>
        </a:xfrm>
        <a:prstGeom prst="rect">
          <a:avLst/>
        </a:prstGeom>
      </xdr:spPr>
    </xdr:pic>
    <xdr:clientData/>
  </xdr:twoCellAnchor>
  <xdr:twoCellAnchor editAs="oneCell">
    <xdr:from>
      <xdr:col>8</xdr:col>
      <xdr:colOff>363681</xdr:colOff>
      <xdr:row>70</xdr:row>
      <xdr:rowOff>4</xdr:rowOff>
    </xdr:from>
    <xdr:to>
      <xdr:col>9</xdr:col>
      <xdr:colOff>470131</xdr:colOff>
      <xdr:row>73</xdr:row>
      <xdr:rowOff>130756</xdr:rowOff>
    </xdr:to>
    <xdr:pic>
      <xdr:nvPicPr>
        <xdr:cNvPr id="27" name="Immagine 26" descr="FiscoOggi.it - Superbonus e cessione del credit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99" y="15828822"/>
          <a:ext cx="1301406" cy="754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502227</xdr:colOff>
      <xdr:row>69</xdr:row>
      <xdr:rowOff>160325</xdr:rowOff>
    </xdr:from>
    <xdr:to>
      <xdr:col>10</xdr:col>
      <xdr:colOff>155865</xdr:colOff>
      <xdr:row>73</xdr:row>
      <xdr:rowOff>141147</xdr:rowOff>
    </xdr:to>
    <xdr:pic>
      <xdr:nvPicPr>
        <xdr:cNvPr id="28" name="Immagine 27" descr="Incentivo Conto Termico 2.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0" y="15781325"/>
          <a:ext cx="848591" cy="81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100</xdr:row>
      <xdr:rowOff>95250</xdr:rowOff>
    </xdr:from>
    <xdr:to>
      <xdr:col>1</xdr:col>
      <xdr:colOff>866775</xdr:colOff>
      <xdr:row>100</xdr:row>
      <xdr:rowOff>95250</xdr:rowOff>
    </xdr:to>
    <xdr:sp macro="" textlink="">
      <xdr:nvSpPr>
        <xdr:cNvPr id="18442" name="Line 5"/>
        <xdr:cNvSpPr>
          <a:spLocks noChangeShapeType="1"/>
        </xdr:cNvSpPr>
      </xdr:nvSpPr>
      <xdr:spPr bwMode="auto">
        <a:xfrm>
          <a:off x="1609725" y="204025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70</xdr:row>
      <xdr:rowOff>95250</xdr:rowOff>
    </xdr:from>
    <xdr:to>
      <xdr:col>1</xdr:col>
      <xdr:colOff>733425</xdr:colOff>
      <xdr:row>70</xdr:row>
      <xdr:rowOff>95250</xdr:rowOff>
    </xdr:to>
    <xdr:sp macro="" textlink="">
      <xdr:nvSpPr>
        <xdr:cNvPr id="17415" name="Line 1"/>
        <xdr:cNvSpPr>
          <a:spLocks noChangeShapeType="1"/>
        </xdr:cNvSpPr>
      </xdr:nvSpPr>
      <xdr:spPr bwMode="auto">
        <a:xfrm>
          <a:off x="1371600" y="14401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0</xdr:colOff>
      <xdr:row>68</xdr:row>
      <xdr:rowOff>0</xdr:rowOff>
    </xdr:from>
    <xdr:to>
      <xdr:col>14</xdr:col>
      <xdr:colOff>371475</xdr:colOff>
      <xdr:row>110</xdr:row>
      <xdr:rowOff>114300</xdr:rowOff>
    </xdr:to>
    <xdr:pic>
      <xdr:nvPicPr>
        <xdr:cNvPr id="174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3906500"/>
          <a:ext cx="7496175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</xdr:row>
      <xdr:rowOff>95250</xdr:rowOff>
    </xdr:from>
    <xdr:to>
      <xdr:col>1</xdr:col>
      <xdr:colOff>742950</xdr:colOff>
      <xdr:row>2</xdr:row>
      <xdr:rowOff>95250</xdr:rowOff>
    </xdr:to>
    <xdr:sp macro="" textlink="">
      <xdr:nvSpPr>
        <xdr:cNvPr id="20491" name="Line 1"/>
        <xdr:cNvSpPr>
          <a:spLocks noChangeShapeType="1"/>
        </xdr:cNvSpPr>
      </xdr:nvSpPr>
      <xdr:spPr bwMode="auto">
        <a:xfrm>
          <a:off x="885825" y="49530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66675</xdr:colOff>
      <xdr:row>2</xdr:row>
      <xdr:rowOff>95250</xdr:rowOff>
    </xdr:from>
    <xdr:to>
      <xdr:col>5</xdr:col>
      <xdr:colOff>733425</xdr:colOff>
      <xdr:row>2</xdr:row>
      <xdr:rowOff>95250</xdr:rowOff>
    </xdr:to>
    <xdr:sp macro="" textlink="">
      <xdr:nvSpPr>
        <xdr:cNvPr id="20492" name="Line 5"/>
        <xdr:cNvSpPr>
          <a:spLocks noChangeShapeType="1"/>
        </xdr:cNvSpPr>
      </xdr:nvSpPr>
      <xdr:spPr bwMode="auto">
        <a:xfrm>
          <a:off x="3552825" y="495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24</xdr:col>
      <xdr:colOff>676275</xdr:colOff>
      <xdr:row>21</xdr:row>
      <xdr:rowOff>0</xdr:rowOff>
    </xdr:to>
    <xdr:graphicFrame macro="">
      <xdr:nvGraphicFramePr>
        <xdr:cNvPr id="215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23</xdr:col>
      <xdr:colOff>676275</xdr:colOff>
      <xdr:row>42</xdr:row>
      <xdr:rowOff>76200</xdr:rowOff>
    </xdr:to>
    <xdr:graphicFrame macro="">
      <xdr:nvGraphicFramePr>
        <xdr:cNvPr id="2151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9525</xdr:colOff>
      <xdr:row>43</xdr:row>
      <xdr:rowOff>19050</xdr:rowOff>
    </xdr:from>
    <xdr:to>
      <xdr:col>24</xdr:col>
      <xdr:colOff>0</xdr:colOff>
      <xdr:row>62</xdr:row>
      <xdr:rowOff>114300</xdr:rowOff>
    </xdr:to>
    <xdr:graphicFrame macro="">
      <xdr:nvGraphicFramePr>
        <xdr:cNvPr id="2151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16</xdr:row>
      <xdr:rowOff>171450</xdr:rowOff>
    </xdr:from>
    <xdr:to>
      <xdr:col>2</xdr:col>
      <xdr:colOff>9525</xdr:colOff>
      <xdr:row>20</xdr:row>
      <xdr:rowOff>66675</xdr:rowOff>
    </xdr:to>
    <xdr:sp macro="" textlink="">
      <xdr:nvSpPr>
        <xdr:cNvPr id="21518" name="Line 18"/>
        <xdr:cNvSpPr>
          <a:spLocks noChangeShapeType="1"/>
        </xdr:cNvSpPr>
      </xdr:nvSpPr>
      <xdr:spPr bwMode="auto">
        <a:xfrm>
          <a:off x="1381125" y="3486150"/>
          <a:ext cx="0" cy="695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209550</xdr:colOff>
      <xdr:row>27</xdr:row>
      <xdr:rowOff>104775</xdr:rowOff>
    </xdr:from>
    <xdr:to>
      <xdr:col>5</xdr:col>
      <xdr:colOff>619125</xdr:colOff>
      <xdr:row>27</xdr:row>
      <xdr:rowOff>104775</xdr:rowOff>
    </xdr:to>
    <xdr:sp macro="" textlink="">
      <xdr:nvSpPr>
        <xdr:cNvPr id="21519" name="Line 19"/>
        <xdr:cNvSpPr>
          <a:spLocks noChangeShapeType="1"/>
        </xdr:cNvSpPr>
      </xdr:nvSpPr>
      <xdr:spPr bwMode="auto">
        <a:xfrm>
          <a:off x="3638550" y="5638800"/>
          <a:ext cx="409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352425</xdr:colOff>
      <xdr:row>9</xdr:row>
      <xdr:rowOff>19050</xdr:rowOff>
    </xdr:from>
    <xdr:to>
      <xdr:col>4</xdr:col>
      <xdr:colOff>571500</xdr:colOff>
      <xdr:row>9</xdr:row>
      <xdr:rowOff>19050</xdr:rowOff>
    </xdr:to>
    <xdr:sp macro="" textlink="">
      <xdr:nvSpPr>
        <xdr:cNvPr id="21520" name="Line 20"/>
        <xdr:cNvSpPr>
          <a:spLocks noChangeShapeType="1"/>
        </xdr:cNvSpPr>
      </xdr:nvSpPr>
      <xdr:spPr bwMode="auto">
        <a:xfrm>
          <a:off x="3095625" y="1933575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342900</xdr:colOff>
      <xdr:row>9</xdr:row>
      <xdr:rowOff>28575</xdr:rowOff>
    </xdr:from>
    <xdr:to>
      <xdr:col>4</xdr:col>
      <xdr:colOff>495300</xdr:colOff>
      <xdr:row>20</xdr:row>
      <xdr:rowOff>76200</xdr:rowOff>
    </xdr:to>
    <xdr:sp macro="" textlink="">
      <xdr:nvSpPr>
        <xdr:cNvPr id="21521" name="Line 21"/>
        <xdr:cNvSpPr>
          <a:spLocks noChangeShapeType="1"/>
        </xdr:cNvSpPr>
      </xdr:nvSpPr>
      <xdr:spPr bwMode="auto">
        <a:xfrm>
          <a:off x="3086100" y="1943100"/>
          <a:ext cx="152400" cy="2247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495300</xdr:colOff>
      <xdr:row>20</xdr:row>
      <xdr:rowOff>85725</xdr:rowOff>
    </xdr:from>
    <xdr:to>
      <xdr:col>6</xdr:col>
      <xdr:colOff>85725</xdr:colOff>
      <xdr:row>22</xdr:row>
      <xdr:rowOff>104775</xdr:rowOff>
    </xdr:to>
    <xdr:sp macro="" textlink="">
      <xdr:nvSpPr>
        <xdr:cNvPr id="21522" name="Line 22"/>
        <xdr:cNvSpPr>
          <a:spLocks noChangeShapeType="1"/>
        </xdr:cNvSpPr>
      </xdr:nvSpPr>
      <xdr:spPr bwMode="auto">
        <a:xfrm>
          <a:off x="3238500" y="4200525"/>
          <a:ext cx="1057275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7</xdr:row>
      <xdr:rowOff>47625</xdr:rowOff>
    </xdr:from>
    <xdr:to>
      <xdr:col>10</xdr:col>
      <xdr:colOff>257175</xdr:colOff>
      <xdr:row>8</xdr:row>
      <xdr:rowOff>57150</xdr:rowOff>
    </xdr:to>
    <xdr:sp macro="" textlink="">
      <xdr:nvSpPr>
        <xdr:cNvPr id="21523" name="Line 23"/>
        <xdr:cNvSpPr>
          <a:spLocks noChangeShapeType="1"/>
        </xdr:cNvSpPr>
      </xdr:nvSpPr>
      <xdr:spPr bwMode="auto">
        <a:xfrm flipH="1">
          <a:off x="6972300" y="1562100"/>
          <a:ext cx="23812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9525</xdr:rowOff>
    </xdr:from>
    <xdr:to>
      <xdr:col>10</xdr:col>
      <xdr:colOff>266700</xdr:colOff>
      <xdr:row>7</xdr:row>
      <xdr:rowOff>38100</xdr:rowOff>
    </xdr:to>
    <xdr:sp macro="" textlink="">
      <xdr:nvSpPr>
        <xdr:cNvPr id="21524" name="Line 24"/>
        <xdr:cNvSpPr>
          <a:spLocks noChangeShapeType="1"/>
        </xdr:cNvSpPr>
      </xdr:nvSpPr>
      <xdr:spPr bwMode="auto">
        <a:xfrm flipH="1" flipV="1">
          <a:off x="6953250" y="1314450"/>
          <a:ext cx="26670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0.00534</cdr:x>
      <cdr:y>0.01214</cdr:y>
    </cdr:from>
    <cdr:to>
      <cdr:x>0.54378</cdr:x>
      <cdr:y>0.16557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800367" cy="602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it-IT" sz="1000" b="0" i="0" strike="noStrike">
              <a:solidFill>
                <a:srgbClr val="000000"/>
              </a:solidFill>
              <a:latin typeface="Arial"/>
              <a:cs typeface="Arial"/>
            </a:rPr>
            <a:t>y = 2E-08x6 - 7E-07x5 - 2E-05x4 + 0,0003x3 + 0,0043x2 - 0,0101x + 0,8122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10</xdr:row>
      <xdr:rowOff>95250</xdr:rowOff>
    </xdr:from>
    <xdr:to>
      <xdr:col>7</xdr:col>
      <xdr:colOff>733425</xdr:colOff>
      <xdr:row>10</xdr:row>
      <xdr:rowOff>95250</xdr:rowOff>
    </xdr:to>
    <xdr:sp macro="" textlink="">
      <xdr:nvSpPr>
        <xdr:cNvPr id="9234" name="Line 1"/>
        <xdr:cNvSpPr>
          <a:spLocks noChangeShapeType="1"/>
        </xdr:cNvSpPr>
      </xdr:nvSpPr>
      <xdr:spPr bwMode="auto">
        <a:xfrm>
          <a:off x="7248525" y="214312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10</xdr:row>
      <xdr:rowOff>95250</xdr:rowOff>
    </xdr:from>
    <xdr:to>
      <xdr:col>1</xdr:col>
      <xdr:colOff>866775</xdr:colOff>
      <xdr:row>10</xdr:row>
      <xdr:rowOff>95250</xdr:rowOff>
    </xdr:to>
    <xdr:sp macro="" textlink="">
      <xdr:nvSpPr>
        <xdr:cNvPr id="9235" name="Line 2"/>
        <xdr:cNvSpPr>
          <a:spLocks noChangeShapeType="1"/>
        </xdr:cNvSpPr>
      </xdr:nvSpPr>
      <xdr:spPr bwMode="auto">
        <a:xfrm>
          <a:off x="923925" y="214312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38100</xdr:colOff>
      <xdr:row>10</xdr:row>
      <xdr:rowOff>133350</xdr:rowOff>
    </xdr:from>
    <xdr:to>
      <xdr:col>14</xdr:col>
      <xdr:colOff>628650</xdr:colOff>
      <xdr:row>10</xdr:row>
      <xdr:rowOff>133350</xdr:rowOff>
    </xdr:to>
    <xdr:sp macro="" textlink="">
      <xdr:nvSpPr>
        <xdr:cNvPr id="9236" name="Line 3"/>
        <xdr:cNvSpPr>
          <a:spLocks noChangeShapeType="1"/>
        </xdr:cNvSpPr>
      </xdr:nvSpPr>
      <xdr:spPr bwMode="auto">
        <a:xfrm>
          <a:off x="14020800" y="2181225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10</xdr:row>
      <xdr:rowOff>95250</xdr:rowOff>
    </xdr:from>
    <xdr:to>
      <xdr:col>7</xdr:col>
      <xdr:colOff>733425</xdr:colOff>
      <xdr:row>10</xdr:row>
      <xdr:rowOff>95250</xdr:rowOff>
    </xdr:to>
    <xdr:sp macro="" textlink="">
      <xdr:nvSpPr>
        <xdr:cNvPr id="8213" name="Line 2"/>
        <xdr:cNvSpPr>
          <a:spLocks noChangeShapeType="1"/>
        </xdr:cNvSpPr>
      </xdr:nvSpPr>
      <xdr:spPr bwMode="auto">
        <a:xfrm>
          <a:off x="6705600" y="214312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10</xdr:row>
      <xdr:rowOff>95250</xdr:rowOff>
    </xdr:from>
    <xdr:to>
      <xdr:col>1</xdr:col>
      <xdr:colOff>866775</xdr:colOff>
      <xdr:row>10</xdr:row>
      <xdr:rowOff>95250</xdr:rowOff>
    </xdr:to>
    <xdr:sp macro="" textlink="">
      <xdr:nvSpPr>
        <xdr:cNvPr id="8214" name="Line 6"/>
        <xdr:cNvSpPr>
          <a:spLocks noChangeShapeType="1"/>
        </xdr:cNvSpPr>
      </xdr:nvSpPr>
      <xdr:spPr bwMode="auto">
        <a:xfrm>
          <a:off x="923925" y="214312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38100</xdr:colOff>
      <xdr:row>10</xdr:row>
      <xdr:rowOff>133350</xdr:rowOff>
    </xdr:from>
    <xdr:to>
      <xdr:col>14</xdr:col>
      <xdr:colOff>628650</xdr:colOff>
      <xdr:row>10</xdr:row>
      <xdr:rowOff>133350</xdr:rowOff>
    </xdr:to>
    <xdr:sp macro="" textlink="">
      <xdr:nvSpPr>
        <xdr:cNvPr id="8215" name="Line 12"/>
        <xdr:cNvSpPr>
          <a:spLocks noChangeShapeType="1"/>
        </xdr:cNvSpPr>
      </xdr:nvSpPr>
      <xdr:spPr bwMode="auto">
        <a:xfrm>
          <a:off x="11410950" y="2181225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17</xdr:row>
      <xdr:rowOff>9525</xdr:rowOff>
    </xdr:from>
    <xdr:to>
      <xdr:col>37</xdr:col>
      <xdr:colOff>466725</xdr:colOff>
      <xdr:row>30</xdr:row>
      <xdr:rowOff>180975</xdr:rowOff>
    </xdr:to>
    <xdr:graphicFrame macro="">
      <xdr:nvGraphicFramePr>
        <xdr:cNvPr id="24578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13" Type="http://schemas.openxmlformats.org/officeDocument/2006/relationships/ctrlProp" Target="../ctrlProps/ctrlProp35.xml"/><Relationship Id="rId18" Type="http://schemas.openxmlformats.org/officeDocument/2006/relationships/ctrlProp" Target="../ctrlProps/ctrlProp40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9.xml"/><Relationship Id="rId12" Type="http://schemas.openxmlformats.org/officeDocument/2006/relationships/ctrlProp" Target="../ctrlProps/ctrlProp34.xml"/><Relationship Id="rId17" Type="http://schemas.openxmlformats.org/officeDocument/2006/relationships/ctrlProp" Target="../ctrlProps/ctrlProp39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8.xml"/><Relationship Id="rId11" Type="http://schemas.openxmlformats.org/officeDocument/2006/relationships/ctrlProp" Target="../ctrlProps/ctrlProp33.xml"/><Relationship Id="rId5" Type="http://schemas.openxmlformats.org/officeDocument/2006/relationships/ctrlProp" Target="../ctrlProps/ctrlProp27.xml"/><Relationship Id="rId15" Type="http://schemas.openxmlformats.org/officeDocument/2006/relationships/ctrlProp" Target="../ctrlProps/ctrlProp37.xml"/><Relationship Id="rId10" Type="http://schemas.openxmlformats.org/officeDocument/2006/relationships/ctrlProp" Target="../ctrlProps/ctrlProp32.xml"/><Relationship Id="rId4" Type="http://schemas.openxmlformats.org/officeDocument/2006/relationships/ctrlProp" Target="../ctrlProps/ctrlProp26.xml"/><Relationship Id="rId9" Type="http://schemas.openxmlformats.org/officeDocument/2006/relationships/ctrlProp" Target="../ctrlProps/ctrlProp31.xml"/><Relationship Id="rId14" Type="http://schemas.openxmlformats.org/officeDocument/2006/relationships/ctrlProp" Target="../ctrlProps/ctrlProp3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R61"/>
  <sheetViews>
    <sheetView workbookViewId="0">
      <selection activeCell="A6" sqref="A6:E6"/>
    </sheetView>
  </sheetViews>
  <sheetFormatPr defaultRowHeight="15.75" x14ac:dyDescent="0.25"/>
  <cols>
    <col min="2" max="2" width="16.5" bestFit="1" customWidth="1"/>
    <col min="3" max="3" width="12.5" bestFit="1" customWidth="1"/>
    <col min="4" max="4" width="11.5" bestFit="1" customWidth="1"/>
    <col min="10" max="10" width="9.75" bestFit="1" customWidth="1"/>
    <col min="18" max="18" width="9.75" bestFit="1" customWidth="1"/>
  </cols>
  <sheetData>
    <row r="1" spans="1:18" x14ac:dyDescent="0.25">
      <c r="A1" s="224" t="s">
        <v>215</v>
      </c>
      <c r="B1" s="225" t="s">
        <v>217</v>
      </c>
      <c r="C1" s="225" t="s">
        <v>216</v>
      </c>
      <c r="D1" s="226" t="s">
        <v>79</v>
      </c>
      <c r="E1" s="226" t="s">
        <v>69</v>
      </c>
      <c r="F1" s="1202" t="s">
        <v>218</v>
      </c>
      <c r="G1" s="1203"/>
      <c r="H1" s="1203"/>
      <c r="I1" s="1204"/>
      <c r="J1" s="226" t="s">
        <v>68</v>
      </c>
      <c r="K1" s="1202" t="s">
        <v>219</v>
      </c>
      <c r="L1" s="1203"/>
      <c r="M1" s="1203"/>
      <c r="N1" s="1203"/>
      <c r="O1" s="1203"/>
      <c r="P1" s="1205"/>
    </row>
    <row r="2" spans="1:18" ht="16.5" thickBot="1" x14ac:dyDescent="0.3">
      <c r="A2" s="269"/>
      <c r="B2" s="270"/>
      <c r="C2" s="270"/>
      <c r="D2" s="270"/>
      <c r="E2" s="270"/>
      <c r="F2" s="271">
        <v>25</v>
      </c>
      <c r="G2" s="271">
        <v>29</v>
      </c>
      <c r="H2" s="271">
        <v>35</v>
      </c>
      <c r="I2" s="271">
        <v>39</v>
      </c>
      <c r="J2" s="270"/>
      <c r="K2" s="271">
        <v>-10</v>
      </c>
      <c r="L2" s="271">
        <v>-3.7</v>
      </c>
      <c r="M2" s="271">
        <v>2.2000000000000002</v>
      </c>
      <c r="N2" s="271">
        <v>7.9</v>
      </c>
      <c r="O2" s="271">
        <v>11.8</v>
      </c>
      <c r="P2" s="272">
        <v>13.7</v>
      </c>
      <c r="Q2" t="s">
        <v>69</v>
      </c>
      <c r="R2" t="s">
        <v>68</v>
      </c>
    </row>
    <row r="3" spans="1:18" x14ac:dyDescent="0.25">
      <c r="A3" s="229">
        <v>8</v>
      </c>
      <c r="B3" s="230">
        <v>1</v>
      </c>
      <c r="C3" s="230">
        <f>'1-Ore funzionamento'!$AF$7</f>
        <v>4.2105263157894743E-2</v>
      </c>
      <c r="D3" s="218">
        <v>22.4</v>
      </c>
      <c r="E3" s="218"/>
      <c r="F3" s="230">
        <f>1-'Rendimenti e consumi VRV'!F25/'Rendimenti e consumi VRV'!$F$25</f>
        <v>0</v>
      </c>
      <c r="G3" s="230">
        <f>1-'Rendimenti e consumi VRV'!G25/'Rendimenti e consumi VRV'!$G$25</f>
        <v>0</v>
      </c>
      <c r="H3" s="230">
        <f>1-'Rendimenti e consumi VRV'!H25/'Rendimenti e consumi VRV'!$H$25</f>
        <v>0</v>
      </c>
      <c r="I3" s="230">
        <f>1-'Rendimenti e consumi VRV'!I25/'Rendimenti e consumi VRV'!$I$25</f>
        <v>0</v>
      </c>
      <c r="J3" s="218"/>
      <c r="K3" s="230">
        <f>1-'Rendimenti e consumi VRV'!K25/'Rendimenti e consumi VRV'!$K$25</f>
        <v>0</v>
      </c>
      <c r="L3" s="230">
        <f>1-'Rendimenti e consumi VRV'!L25/'Rendimenti e consumi VRV'!$L$25</f>
        <v>0</v>
      </c>
      <c r="M3" s="230">
        <f>1-'Rendimenti e consumi VRV'!M25/'Rendimenti e consumi VRV'!$M$25</f>
        <v>0</v>
      </c>
      <c r="N3" s="230">
        <f>1-'Rendimenti e consumi VRV'!N25/'Rendimenti e consumi VRV'!$N$25</f>
        <v>0</v>
      </c>
      <c r="O3" s="230">
        <f>1-'Rendimenti e consumi VRV'!O25/'Rendimenti e consumi VRV'!$O$25</f>
        <v>0</v>
      </c>
      <c r="P3" s="289">
        <f>1-'Rendimenti e consumi VRV'!P25/'Rendimenti e consumi VRV'!$P$25</f>
        <v>0</v>
      </c>
      <c r="Q3" s="153">
        <f>AVERAGE(F3:I8)</f>
        <v>0</v>
      </c>
      <c r="R3" s="153">
        <f>AVERAGE(K3:P8)</f>
        <v>0</v>
      </c>
    </row>
    <row r="4" spans="1:18" x14ac:dyDescent="0.25">
      <c r="A4" s="232">
        <v>10</v>
      </c>
      <c r="B4" s="222">
        <v>1</v>
      </c>
      <c r="C4" s="222">
        <f>'1-Ore funzionamento'!$AF$7</f>
        <v>4.2105263157894743E-2</v>
      </c>
      <c r="D4" s="217">
        <v>28</v>
      </c>
      <c r="E4" s="217"/>
      <c r="F4" s="222">
        <f>1-'Rendimenti e consumi VRV'!F26/'Rendimenti e consumi VRV'!$F$26</f>
        <v>0</v>
      </c>
      <c r="G4" s="222">
        <f>1-'Rendimenti e consumi VRV'!G26/'Rendimenti e consumi VRV'!$G$26</f>
        <v>0</v>
      </c>
      <c r="H4" s="222">
        <f>1-'Rendimenti e consumi VRV'!H26/'Rendimenti e consumi VRV'!$H$26</f>
        <v>0</v>
      </c>
      <c r="I4" s="222">
        <f>1-'Rendimenti e consumi VRV'!I26/'Rendimenti e consumi VRV'!$I$26</f>
        <v>0</v>
      </c>
      <c r="J4" s="217"/>
      <c r="K4" s="222">
        <f>1-'Rendimenti e consumi VRV'!K26/'Rendimenti e consumi VRV'!$K$26</f>
        <v>0</v>
      </c>
      <c r="L4" s="222">
        <f>1-'Rendimenti e consumi VRV'!L26/'Rendimenti e consumi VRV'!$L$26</f>
        <v>0</v>
      </c>
      <c r="M4" s="222">
        <f>1-'Rendimenti e consumi VRV'!M26/'Rendimenti e consumi VRV'!$M$26</f>
        <v>0</v>
      </c>
      <c r="N4" s="222">
        <f>1-'Rendimenti e consumi VRV'!N26/'Rendimenti e consumi VRV'!$N$26</f>
        <v>0</v>
      </c>
      <c r="O4" s="222">
        <f>1-'Rendimenti e consumi VRV'!O26/'Rendimenti e consumi VRV'!$O$26</f>
        <v>0</v>
      </c>
      <c r="P4" s="290">
        <f>1-'Rendimenti e consumi VRV'!P26/'Rendimenti e consumi VRV'!$P$26</f>
        <v>0</v>
      </c>
    </row>
    <row r="5" spans="1:18" x14ac:dyDescent="0.25">
      <c r="A5" s="232">
        <v>12</v>
      </c>
      <c r="B5" s="222">
        <v>1</v>
      </c>
      <c r="C5" s="222">
        <f>'1-Ore funzionamento'!$AF$7</f>
        <v>4.2105263157894743E-2</v>
      </c>
      <c r="D5" s="217">
        <v>33.5</v>
      </c>
      <c r="E5" s="217"/>
      <c r="F5" s="222">
        <f>1-'Rendimenti e consumi VRV'!F27/'Rendimenti e consumi VRV'!$F$27</f>
        <v>0</v>
      </c>
      <c r="G5" s="222">
        <f>1-'Rendimenti e consumi VRV'!G27/'Rendimenti e consumi VRV'!$G$27</f>
        <v>0</v>
      </c>
      <c r="H5" s="222">
        <f>1-'Rendimenti e consumi VRV'!H27/'Rendimenti e consumi VRV'!$H$27</f>
        <v>0</v>
      </c>
      <c r="I5" s="222">
        <f>1-'Rendimenti e consumi VRV'!I27/'Rendimenti e consumi VRV'!$I$27</f>
        <v>0</v>
      </c>
      <c r="J5" s="217"/>
      <c r="K5" s="222">
        <f>1-'Rendimenti e consumi VRV'!K27/'Rendimenti e consumi VRV'!$K$27</f>
        <v>0</v>
      </c>
      <c r="L5" s="222">
        <f>1-'Rendimenti e consumi VRV'!L27/'Rendimenti e consumi VRV'!$L$27</f>
        <v>0</v>
      </c>
      <c r="M5" s="222">
        <f>1-'Rendimenti e consumi VRV'!M27/'Rendimenti e consumi VRV'!$M$27</f>
        <v>0</v>
      </c>
      <c r="N5" s="222">
        <f>1-'Rendimenti e consumi VRV'!N27/'Rendimenti e consumi VRV'!$N$27</f>
        <v>0</v>
      </c>
      <c r="O5" s="222">
        <f>1-'Rendimenti e consumi VRV'!O27/'Rendimenti e consumi VRV'!$O$27</f>
        <v>0</v>
      </c>
      <c r="P5" s="290">
        <f>1-'Rendimenti e consumi VRV'!P27/'Rendimenti e consumi VRV'!$P$27</f>
        <v>0</v>
      </c>
    </row>
    <row r="6" spans="1:18" x14ac:dyDescent="0.25">
      <c r="A6" s="232">
        <v>16</v>
      </c>
      <c r="B6" s="222">
        <v>1</v>
      </c>
      <c r="C6" s="222">
        <f>'1-Ore funzionamento'!$AF$7</f>
        <v>4.2105263157894743E-2</v>
      </c>
      <c r="D6" s="217">
        <v>45</v>
      </c>
      <c r="E6" s="217"/>
      <c r="F6" s="222">
        <f>1-'Rendimenti e consumi VRV'!F28/'Rendimenti e consumi VRV'!$F$28</f>
        <v>0</v>
      </c>
      <c r="G6" s="222">
        <f>1-'Rendimenti e consumi VRV'!G28/'Rendimenti e consumi VRV'!$G$28</f>
        <v>0</v>
      </c>
      <c r="H6" s="222">
        <f>1-'Rendimenti e consumi VRV'!H28/'Rendimenti e consumi VRV'!$H$28</f>
        <v>0</v>
      </c>
      <c r="I6" s="222">
        <f>1-'Rendimenti e consumi VRV'!I28/'Rendimenti e consumi VRV'!$I$28</f>
        <v>0</v>
      </c>
      <c r="J6" s="217"/>
      <c r="K6" s="222">
        <f>1-'Rendimenti e consumi VRV'!K28/'Rendimenti e consumi VRV'!$K$28</f>
        <v>0</v>
      </c>
      <c r="L6" s="222">
        <f>1-'Rendimenti e consumi VRV'!L28/'Rendimenti e consumi VRV'!$L$28</f>
        <v>0</v>
      </c>
      <c r="M6" s="222">
        <f>1-'Rendimenti e consumi VRV'!M28/'Rendimenti e consumi VRV'!$M$28</f>
        <v>0</v>
      </c>
      <c r="N6" s="222">
        <f>1-'Rendimenti e consumi VRV'!N28/'Rendimenti e consumi VRV'!$N$28</f>
        <v>0</v>
      </c>
      <c r="O6" s="222">
        <f>1-'Rendimenti e consumi VRV'!O28/'Rendimenti e consumi VRV'!$O$28</f>
        <v>0</v>
      </c>
      <c r="P6" s="290">
        <f>1-'Rendimenti e consumi VRV'!P28/'Rendimenti e consumi VRV'!$P$28</f>
        <v>0</v>
      </c>
    </row>
    <row r="7" spans="1:18" x14ac:dyDescent="0.25">
      <c r="A7" s="232">
        <v>20</v>
      </c>
      <c r="B7" s="222">
        <v>1</v>
      </c>
      <c r="C7" s="222">
        <f>'1-Ore funzionamento'!$AF$7</f>
        <v>4.2105263157894743E-2</v>
      </c>
      <c r="D7" s="217">
        <v>55.9</v>
      </c>
      <c r="E7" s="217"/>
      <c r="F7" s="222">
        <f>1-'Rendimenti e consumi VRV'!F29/'Rendimenti e consumi VRV'!$F$29</f>
        <v>0</v>
      </c>
      <c r="G7" s="222">
        <f>1-'Rendimenti e consumi VRV'!G29/'Rendimenti e consumi VRV'!$G$29</f>
        <v>0</v>
      </c>
      <c r="H7" s="222">
        <f>1-'Rendimenti e consumi VRV'!H29/'Rendimenti e consumi VRV'!$H$29</f>
        <v>0</v>
      </c>
      <c r="I7" s="222">
        <f>1-'Rendimenti e consumi VRV'!I29/'Rendimenti e consumi VRV'!$I$29</f>
        <v>0</v>
      </c>
      <c r="J7" s="217"/>
      <c r="K7" s="222">
        <f>1-'Rendimenti e consumi VRV'!K29/'Rendimenti e consumi VRV'!$K$29</f>
        <v>0</v>
      </c>
      <c r="L7" s="222">
        <f>1-'Rendimenti e consumi VRV'!L29/'Rendimenti e consumi VRV'!$L$29</f>
        <v>0</v>
      </c>
      <c r="M7" s="222">
        <f>1-'Rendimenti e consumi VRV'!M29/'Rendimenti e consumi VRV'!$M$29</f>
        <v>0</v>
      </c>
      <c r="N7" s="222">
        <f>1-'Rendimenti e consumi VRV'!N29/'Rendimenti e consumi VRV'!$N$29</f>
        <v>0</v>
      </c>
      <c r="O7" s="222">
        <f>1-'Rendimenti e consumi VRV'!O29/'Rendimenti e consumi VRV'!$O$29</f>
        <v>0</v>
      </c>
      <c r="P7" s="290">
        <f>1-'Rendimenti e consumi VRV'!P29/'Rendimenti e consumi VRV'!$P$29</f>
        <v>0</v>
      </c>
    </row>
    <row r="8" spans="1:18" ht="16.5" thickBot="1" x14ac:dyDescent="0.3">
      <c r="A8" s="235">
        <v>26</v>
      </c>
      <c r="B8" s="236">
        <v>1</v>
      </c>
      <c r="C8" s="236">
        <f>'1-Ore funzionamento'!$AF$7</f>
        <v>4.2105263157894743E-2</v>
      </c>
      <c r="D8" s="219">
        <v>71.400000000000006</v>
      </c>
      <c r="E8" s="219"/>
      <c r="F8" s="236">
        <f>1-'Rendimenti e consumi VRV'!F30/'Rendimenti e consumi VRV'!$F$30</f>
        <v>0</v>
      </c>
      <c r="G8" s="236">
        <f>1-'Rendimenti e consumi VRV'!G30/'Rendimenti e consumi VRV'!$G$30</f>
        <v>0</v>
      </c>
      <c r="H8" s="236">
        <f>1-'Rendimenti e consumi VRV'!H30/'Rendimenti e consumi VRV'!$H$30</f>
        <v>0</v>
      </c>
      <c r="I8" s="236">
        <f>1-'Rendimenti e consumi VRV'!I30/'Rendimenti e consumi VRV'!$I$30</f>
        <v>0</v>
      </c>
      <c r="J8" s="219"/>
      <c r="K8" s="236">
        <f>1-'Rendimenti e consumi VRV'!K30/'Rendimenti e consumi VRV'!$K$30</f>
        <v>0</v>
      </c>
      <c r="L8" s="236">
        <f>1-'Rendimenti e consumi VRV'!L30/'Rendimenti e consumi VRV'!$L$30</f>
        <v>0</v>
      </c>
      <c r="M8" s="236">
        <f>1-'Rendimenti e consumi VRV'!M30/'Rendimenti e consumi VRV'!$M$30</f>
        <v>0</v>
      </c>
      <c r="N8" s="236">
        <f>1-'Rendimenti e consumi VRV'!N30/'Rendimenti e consumi VRV'!$N$30</f>
        <v>0</v>
      </c>
      <c r="O8" s="236">
        <f>1-'Rendimenti e consumi VRV'!O30/'Rendimenti e consumi VRV'!$O$30</f>
        <v>0</v>
      </c>
      <c r="P8" s="291">
        <f>1-'Rendimenti e consumi VRV'!P30/'Rendimenti e consumi VRV'!$P$30</f>
        <v>0</v>
      </c>
    </row>
    <row r="9" spans="1:18" s="7" customFormat="1" x14ac:dyDescent="0.25">
      <c r="A9" s="245">
        <v>8</v>
      </c>
      <c r="B9" s="246">
        <v>0.9</v>
      </c>
      <c r="C9" s="230">
        <f>'1-Ore funzionamento'!$AF$8</f>
        <v>9.4736842105263161E-2</v>
      </c>
      <c r="D9" s="247">
        <f t="shared" ref="D9:D14" si="0">D3*0.9</f>
        <v>20.16</v>
      </c>
      <c r="E9" s="247"/>
      <c r="F9" s="230">
        <f>1-'Rendimenti e consumi VRV'!F31/'Rendimenti e consumi VRV'!$F$25</f>
        <v>0.14214463840398994</v>
      </c>
      <c r="G9" s="230">
        <f>1-'Rendimenti e consumi VRV'!G31/'Rendimenti e consumi VRV'!$G$25</f>
        <v>0.14410480349344978</v>
      </c>
      <c r="H9" s="230">
        <f>1-'Rendimenti e consumi VRV'!H31/'Rendimenti e consumi VRV'!$H$25</f>
        <v>0.14568345323741005</v>
      </c>
      <c r="I9" s="230">
        <f>1-'Rendimenti e consumi VRV'!I31/'Rendimenti e consumi VRV'!$I$25</f>
        <v>9.4117647058823639E-2</v>
      </c>
      <c r="J9" s="247"/>
      <c r="K9" s="230">
        <f>1-'Rendimenti e consumi VRV'!K31/'Rendimenti e consumi VRV'!$K$25</f>
        <v>-4.081632653061229E-2</v>
      </c>
      <c r="L9" s="230">
        <f>1-'Rendimenti e consumi VRV'!L31/'Rendimenti e consumi VRV'!$L$25</f>
        <v>4.6062407132243743E-2</v>
      </c>
      <c r="M9" s="230">
        <f>1-'Rendimenti e consumi VRV'!M31/'Rendimenti e consumi VRV'!$M$25</f>
        <v>0.11811023622047245</v>
      </c>
      <c r="N9" s="230">
        <f>1-'Rendimenti e consumi VRV'!N31/'Rendimenti e consumi VRV'!$N$25</f>
        <v>0.14846416382252559</v>
      </c>
      <c r="O9" s="230">
        <f>1-'Rendimenti e consumi VRV'!O31/'Rendimenti e consumi VRV'!$O$25</f>
        <v>0.11259541984732824</v>
      </c>
      <c r="P9" s="289">
        <f>1-'Rendimenti e consumi VRV'!P31/'Rendimenti e consumi VRV'!$P$25</f>
        <v>0.1124260355029586</v>
      </c>
      <c r="Q9" s="153">
        <f>AVERAGE(F9:I14)</f>
        <v>0.13173415861373797</v>
      </c>
      <c r="R9" s="153">
        <f>AVERAGE(K9:P14)</f>
        <v>5.7694952501808401E-2</v>
      </c>
    </row>
    <row r="10" spans="1:18" x14ac:dyDescent="0.25">
      <c r="A10" s="232">
        <v>10</v>
      </c>
      <c r="B10" s="222">
        <v>0.9</v>
      </c>
      <c r="C10" s="222">
        <f>'1-Ore funzionamento'!$AF$8</f>
        <v>9.4736842105263161E-2</v>
      </c>
      <c r="D10" s="217">
        <f t="shared" si="0"/>
        <v>25.2</v>
      </c>
      <c r="E10" s="217"/>
      <c r="F10" s="222">
        <f>1-'Rendimenti e consumi VRV'!F32/'Rendimenti e consumi VRV'!$F$26</f>
        <v>0.14205607476635507</v>
      </c>
      <c r="G10" s="222">
        <f>1-'Rendimenti e consumi VRV'!G32/'Rendimenti e consumi VRV'!$G$26</f>
        <v>0.14402618657937805</v>
      </c>
      <c r="H10" s="222">
        <f>1-'Rendimenti e consumi VRV'!H32/'Rendimenti e consumi VRV'!$H$26</f>
        <v>0.14555256064690025</v>
      </c>
      <c r="I10" s="222">
        <f>1-'Rendimenti e consumi VRV'!I32/'Rendimenti e consumi VRV'!$I$26</f>
        <v>9.4458438287153612E-2</v>
      </c>
      <c r="J10" s="217"/>
      <c r="K10" s="222">
        <f>1-'Rendimenti e consumi VRV'!K32/'Rendimenti e consumi VRV'!$K$26</f>
        <v>-4.3427230046948484E-2</v>
      </c>
      <c r="L10" s="222">
        <f>1-'Rendimenti e consumi VRV'!L32/'Rendimenti e consumi VRV'!$L$26</f>
        <v>-1.8681318681318615E-2</v>
      </c>
      <c r="M10" s="222">
        <f>1-'Rendimenti e consumi VRV'!M32/'Rendimenti e consumi VRV'!$M$26</f>
        <v>0.11954022988505741</v>
      </c>
      <c r="N10" s="222">
        <f>1-'Rendimenti e consumi VRV'!N32/'Rendimenti e consumi VRV'!$N$26</f>
        <v>0.11586206896551721</v>
      </c>
      <c r="O10" s="222">
        <f>1-'Rendimenti e consumi VRV'!O32/'Rendimenti e consumi VRV'!$O$26</f>
        <v>0.11335403726708082</v>
      </c>
      <c r="P10" s="290">
        <f>1-'Rendimenti e consumi VRV'!P32/'Rendimenti e consumi VRV'!$P$26</f>
        <v>0.11019736842105265</v>
      </c>
    </row>
    <row r="11" spans="1:18" x14ac:dyDescent="0.25">
      <c r="A11" s="232">
        <v>12</v>
      </c>
      <c r="B11" s="222">
        <v>0.9</v>
      </c>
      <c r="C11" s="222">
        <f>'1-Ore funzionamento'!$AF$8</f>
        <v>9.4736842105263161E-2</v>
      </c>
      <c r="D11" s="217">
        <f t="shared" si="0"/>
        <v>30.150000000000002</v>
      </c>
      <c r="E11" s="217"/>
      <c r="F11" s="222">
        <f>1-'Rendimenti e consumi VRV'!F33/'Rendimenti e consumi VRV'!$F$27</f>
        <v>0.14141414141414133</v>
      </c>
      <c r="G11" s="222">
        <f>1-'Rendimenti e consumi VRV'!G33/'Rendimenti e consumi VRV'!$G$27</f>
        <v>0.14393939393939392</v>
      </c>
      <c r="H11" s="222">
        <f>1-'Rendimenti e consumi VRV'!H33/'Rendimenti e consumi VRV'!$H$27</f>
        <v>0.14553014553014543</v>
      </c>
      <c r="I11" s="222">
        <f>1-'Rendimenti e consumi VRV'!I33/'Rendimenti e consumi VRV'!$I$27</f>
        <v>9.5145631067961145E-2</v>
      </c>
      <c r="J11" s="217"/>
      <c r="K11" s="222">
        <f>1-'Rendimenti e consumi VRV'!K33/'Rendimenti e consumi VRV'!$K$27</f>
        <v>-5.8673469387755306E-2</v>
      </c>
      <c r="L11" s="222">
        <f>1-'Rendimenti e consumi VRV'!L33/'Rendimenti e consumi VRV'!$L$27</f>
        <v>-4.572098475967179E-2</v>
      </c>
      <c r="M11" s="222">
        <f>1-'Rendimenti e consumi VRV'!M33/'Rendimenti e consumi VRV'!$M$27</f>
        <v>-3.1833150384193321E-2</v>
      </c>
      <c r="N11" s="222">
        <f>1-'Rendimenti e consumi VRV'!N33/'Rendimenti e consumi VRV'!$N$27</f>
        <v>0.11586051743532055</v>
      </c>
      <c r="O11" s="222">
        <f>1-'Rendimenti e consumi VRV'!O33/'Rendimenti e consumi VRV'!$O$27</f>
        <v>0.11294416243654815</v>
      </c>
      <c r="P11" s="290">
        <f>1-'Rendimenti e consumi VRV'!P33/'Rendimenti e consumi VRV'!$P$27</f>
        <v>0.11155913978494625</v>
      </c>
    </row>
    <row r="12" spans="1:18" x14ac:dyDescent="0.25">
      <c r="A12" s="232">
        <v>16</v>
      </c>
      <c r="B12" s="222">
        <v>0.9</v>
      </c>
      <c r="C12" s="222">
        <f>'1-Ore funzionamento'!$AF$8</f>
        <v>9.4736842105263161E-2</v>
      </c>
      <c r="D12" s="217">
        <f t="shared" si="0"/>
        <v>40.5</v>
      </c>
      <c r="E12" s="217"/>
      <c r="F12" s="222">
        <f>1-'Rendimenti e consumi VRV'!F34/'Rendimenti e consumi VRV'!$F$28</f>
        <v>0.13921568627450975</v>
      </c>
      <c r="G12" s="222">
        <f>1-'Rendimenti e consumi VRV'!G34/'Rendimenti e consumi VRV'!$G$28</f>
        <v>0.14529914529914523</v>
      </c>
      <c r="H12" s="222">
        <f>1-'Rendimenti e consumi VRV'!H34/'Rendimenti e consumi VRV'!$H$28</f>
        <v>0.147887323943662</v>
      </c>
      <c r="I12" s="222">
        <f>1-'Rendimenti e consumi VRV'!I34/'Rendimenti e consumi VRV'!$I$28</f>
        <v>9.210526315789469E-2</v>
      </c>
      <c r="J12" s="217"/>
      <c r="K12" s="222">
        <f>1-'Rendimenti e consumi VRV'!K34/'Rendimenti e consumi VRV'!$K$28</f>
        <v>-4.6153846153846212E-2</v>
      </c>
      <c r="L12" s="222">
        <f>1-'Rendimenti e consumi VRV'!L34/'Rendimenti e consumi VRV'!$L$28</f>
        <v>-3.5971223021582732E-2</v>
      </c>
      <c r="M12" s="222">
        <f>1-'Rendimenti e consumi VRV'!M34/'Rendimenti e consumi VRV'!$M$28</f>
        <v>0.11724137931034473</v>
      </c>
      <c r="N12" s="222">
        <f>1-'Rendimenti e consumi VRV'!N34/'Rendimenti e consumi VRV'!$N$28</f>
        <v>0.11475409836065564</v>
      </c>
      <c r="O12" s="222">
        <f>1-'Rendimenti e consumi VRV'!O34/'Rendimenti e consumi VRV'!$O$28</f>
        <v>0.11111111111111116</v>
      </c>
      <c r="P12" s="290">
        <f>1-'Rendimenti e consumi VRV'!P34/'Rendimenti e consumi VRV'!$P$28</f>
        <v>0.10784313725490191</v>
      </c>
    </row>
    <row r="13" spans="1:18" x14ac:dyDescent="0.25">
      <c r="A13" s="232">
        <v>20</v>
      </c>
      <c r="B13" s="222">
        <v>0.9</v>
      </c>
      <c r="C13" s="222">
        <f>'1-Ore funzionamento'!$AF$8</f>
        <v>9.4736842105263161E-2</v>
      </c>
      <c r="D13" s="217">
        <f t="shared" si="0"/>
        <v>50.31</v>
      </c>
      <c r="E13" s="217"/>
      <c r="F13" s="222">
        <f>1-'Rendimenti e consumi VRV'!F35/'Rendimenti e consumi VRV'!$F$29</f>
        <v>0.14545454545454539</v>
      </c>
      <c r="G13" s="222">
        <f>1-'Rendimenti e consumi VRV'!G35/'Rendimenti e consumi VRV'!$G$29</f>
        <v>0.14400000000000002</v>
      </c>
      <c r="H13" s="222">
        <f>1-'Rendimenti e consumi VRV'!H35/'Rendimenti e consumi VRV'!$H$29</f>
        <v>0.14473684210526316</v>
      </c>
      <c r="I13" s="222">
        <f>1-'Rendimenti e consumi VRV'!I35/'Rendimenti e consumi VRV'!$I$29</f>
        <v>9.8159509202454087E-2</v>
      </c>
      <c r="J13" s="217"/>
      <c r="K13" s="222">
        <f>1-'Rendimenti e consumi VRV'!K35/'Rendimenti e consumi VRV'!$K$29</f>
        <v>-5.6338028169014231E-2</v>
      </c>
      <c r="L13" s="222">
        <f>1-'Rendimenti e consumi VRV'!L35/'Rendimenti e consumi VRV'!$L$29</f>
        <v>-3.9215686274509887E-2</v>
      </c>
      <c r="M13" s="222">
        <f>1-'Rendimenti e consumi VRV'!M35/'Rendimenti e consumi VRV'!$M$29</f>
        <v>6.8322981366459756E-2</v>
      </c>
      <c r="N13" s="222">
        <f>1-'Rendimenti e consumi VRV'!N35/'Rendimenti e consumi VRV'!$N$29</f>
        <v>0.1103448275862069</v>
      </c>
      <c r="O13" s="222">
        <f>1-'Rendimenti e consumi VRV'!O35/'Rendimenti e consumi VRV'!$O$29</f>
        <v>0.1145038167938931</v>
      </c>
      <c r="P13" s="290">
        <f>1-'Rendimenti e consumi VRV'!P35/'Rendimenti e consumi VRV'!$P$29</f>
        <v>0.11199999999999999</v>
      </c>
    </row>
    <row r="14" spans="1:18" ht="16.5" thickBot="1" x14ac:dyDescent="0.3">
      <c r="A14" s="235">
        <v>26</v>
      </c>
      <c r="B14" s="236">
        <v>0.9</v>
      </c>
      <c r="C14" s="236">
        <f>'1-Ore funzionamento'!$AF$8</f>
        <v>9.4736842105263161E-2</v>
      </c>
      <c r="D14" s="219">
        <f t="shared" si="0"/>
        <v>64.260000000000005</v>
      </c>
      <c r="E14" s="219"/>
      <c r="F14" s="236">
        <f>1-'Rendimenti e consumi VRV'!F36/'Rendimenti e consumi VRV'!$F$30</f>
        <v>0.14012738853503182</v>
      </c>
      <c r="G14" s="236">
        <f>1-'Rendimenti e consumi VRV'!G36/'Rendimenti e consumi VRV'!$G$30</f>
        <v>0.14525139664804454</v>
      </c>
      <c r="H14" s="236">
        <f>1-'Rendimenti e consumi VRV'!H36/'Rendimenti e consumi VRV'!$H$30</f>
        <v>0.14678899082568808</v>
      </c>
      <c r="I14" s="236">
        <f>1-'Rendimenti e consumi VRV'!I36/'Rendimenti e consumi VRV'!$I$30</f>
        <v>9.4420600858369119E-2</v>
      </c>
      <c r="J14" s="219"/>
      <c r="K14" s="236">
        <f>1-'Rendimenti e consumi VRV'!K36/'Rendimenti e consumi VRV'!$K$30</f>
        <v>-5.1546391752577359E-2</v>
      </c>
      <c r="L14" s="236">
        <f>1-'Rendimenti e consumi VRV'!L36/'Rendimenti e consumi VRV'!$L$30</f>
        <v>-3.8461538461538547E-2</v>
      </c>
      <c r="M14" s="236">
        <f>1-'Rendimenti e consumi VRV'!M36/'Rendimenti e consumi VRV'!$M$30</f>
        <v>5.0228310502283047E-2</v>
      </c>
      <c r="N14" s="236">
        <f>1-'Rendimenti e consumi VRV'!N36/'Rendimenti e consumi VRV'!$N$30</f>
        <v>0.11442786069651745</v>
      </c>
      <c r="O14" s="236">
        <f>1-'Rendimenti e consumi VRV'!O36/'Rendimenti e consumi VRV'!$O$30</f>
        <v>0.11049723756906071</v>
      </c>
      <c r="P14" s="291">
        <f>1-'Rendimenti e consumi VRV'!P36/'Rendimenti e consumi VRV'!$P$30</f>
        <v>0.11560693641618491</v>
      </c>
    </row>
    <row r="15" spans="1:18" x14ac:dyDescent="0.25">
      <c r="A15" s="229">
        <v>8</v>
      </c>
      <c r="B15" s="230">
        <v>0.8</v>
      </c>
      <c r="C15" s="230">
        <f>'1-Ore funzionamento'!$AF$9</f>
        <v>0.15789473684210525</v>
      </c>
      <c r="D15" s="218">
        <f t="shared" ref="D15:D20" si="1">D3*0.8</f>
        <v>17.919999999999998</v>
      </c>
      <c r="E15" s="218"/>
      <c r="F15" s="230">
        <f>1-'Rendimenti e consumi VRV'!F37/'Rendimenti e consumi VRV'!$F$25</f>
        <v>0.2743142144638403</v>
      </c>
      <c r="G15" s="230">
        <f>1-'Rendimenti e consumi VRV'!G37/'Rendimenti e consumi VRV'!$G$25</f>
        <v>0.27510917030567694</v>
      </c>
      <c r="H15" s="230">
        <f>1-'Rendimenti e consumi VRV'!H37/'Rendimenti e consumi VRV'!$H$25</f>
        <v>0.27877697841726623</v>
      </c>
      <c r="I15" s="230">
        <f>1-'Rendimenti e consumi VRV'!I37/'Rendimenti e consumi VRV'!$I$25</f>
        <v>0.23865546218487388</v>
      </c>
      <c r="J15" s="218"/>
      <c r="K15" s="230">
        <f>1-'Rendimenti e consumi VRV'!K37/'Rendimenti e consumi VRV'!$K$25</f>
        <v>-3.4536891679748827E-2</v>
      </c>
      <c r="L15" s="230">
        <f>1-'Rendimenti e consumi VRV'!L37/'Rendimenti e consumi VRV'!$L$25</f>
        <v>0.17236255572065384</v>
      </c>
      <c r="M15" s="230">
        <f>1-'Rendimenti e consumi VRV'!M37/'Rendimenti e consumi VRV'!$M$25</f>
        <v>0.23149606299212599</v>
      </c>
      <c r="N15" s="230">
        <f>1-'Rendimenti e consumi VRV'!N37/'Rendimenti e consumi VRV'!$N$25</f>
        <v>0.25597269624573382</v>
      </c>
      <c r="O15" s="230">
        <f>1-'Rendimenti e consumi VRV'!O37/'Rendimenti e consumi VRV'!$O$25</f>
        <v>0.22328244274809161</v>
      </c>
      <c r="P15" s="289">
        <f>1-'Rendimenti e consumi VRV'!P37/'Rendimenti e consumi VRV'!$P$25</f>
        <v>0.22090729783037477</v>
      </c>
      <c r="Q15" s="153">
        <f>AVERAGE(F15:I20)</f>
        <v>0.26699363636796342</v>
      </c>
      <c r="R15" s="153">
        <f>AVERAGE(K15:P20)</f>
        <v>0.13447208260731219</v>
      </c>
    </row>
    <row r="16" spans="1:18" x14ac:dyDescent="0.25">
      <c r="A16" s="232">
        <v>10</v>
      </c>
      <c r="B16" s="222">
        <v>0.8</v>
      </c>
      <c r="C16" s="222">
        <f>'1-Ore funzionamento'!$AF$9</f>
        <v>0.15789473684210525</v>
      </c>
      <c r="D16" s="217">
        <f t="shared" si="1"/>
        <v>22.400000000000002</v>
      </c>
      <c r="E16" s="217"/>
      <c r="F16" s="222">
        <f>1-'Rendimenti e consumi VRV'!F38/'Rendimenti e consumi VRV'!$F$26</f>
        <v>0.27289719626168218</v>
      </c>
      <c r="G16" s="222">
        <f>1-'Rendimenti e consumi VRV'!G38/'Rendimenti e consumi VRV'!$G$26</f>
        <v>0.27659574468085113</v>
      </c>
      <c r="H16" s="222">
        <f>1-'Rendimenti e consumi VRV'!H38/'Rendimenti e consumi VRV'!$H$26</f>
        <v>0.28032345013477089</v>
      </c>
      <c r="I16" s="222">
        <f>1-'Rendimenti e consumi VRV'!I38/'Rendimenti e consumi VRV'!$I$26</f>
        <v>0.23803526448362722</v>
      </c>
      <c r="J16" s="217"/>
      <c r="K16" s="222">
        <f>1-'Rendimenti e consumi VRV'!K38/'Rendimenti e consumi VRV'!$K$26</f>
        <v>-8.6854460093896746E-2</v>
      </c>
      <c r="L16" s="222">
        <f>1-'Rendimenti e consumi VRV'!L38/'Rendimenti e consumi VRV'!$L$26</f>
        <v>0.1186813186813187</v>
      </c>
      <c r="M16" s="222">
        <f>1-'Rendimenti e consumi VRV'!M38/'Rendimenti e consumi VRV'!$M$26</f>
        <v>0.23333333333333328</v>
      </c>
      <c r="N16" s="222">
        <f>1-'Rendimenti e consumi VRV'!N38/'Rendimenti e consumi VRV'!$N$26</f>
        <v>0.2262068965517241</v>
      </c>
      <c r="O16" s="222">
        <f>1-'Rendimenti e consumi VRV'!O38/'Rendimenti e consumi VRV'!$O$26</f>
        <v>0.22049689440993803</v>
      </c>
      <c r="P16" s="290">
        <f>1-'Rendimenti e consumi VRV'!P38/'Rendimenti e consumi VRV'!$P$26</f>
        <v>0.2171052631578948</v>
      </c>
    </row>
    <row r="17" spans="1:18" x14ac:dyDescent="0.25">
      <c r="A17" s="232">
        <v>12</v>
      </c>
      <c r="B17" s="222">
        <v>0.8</v>
      </c>
      <c r="C17" s="222">
        <f>'1-Ore funzionamento'!$AF$9</f>
        <v>0.15789473684210525</v>
      </c>
      <c r="D17" s="217">
        <f t="shared" si="1"/>
        <v>26.8</v>
      </c>
      <c r="E17" s="217"/>
      <c r="F17" s="222">
        <f>1-'Rendimenti e consumi VRV'!F39/'Rendimenti e consumi VRV'!$F$27</f>
        <v>0.27272727272727271</v>
      </c>
      <c r="G17" s="222">
        <f>1-'Rendimenti e consumi VRV'!G39/'Rendimenti e consumi VRV'!$G$27</f>
        <v>0.27525252525252519</v>
      </c>
      <c r="H17" s="222">
        <f>1-'Rendimenti e consumi VRV'!H39/'Rendimenti e consumi VRV'!$H$27</f>
        <v>0.27962577962577961</v>
      </c>
      <c r="I17" s="222">
        <f>1-'Rendimenti e consumi VRV'!I39/'Rendimenti e consumi VRV'!$I$27</f>
        <v>0.23883495145631073</v>
      </c>
      <c r="J17" s="217"/>
      <c r="K17" s="222">
        <f>1-'Rendimenti e consumi VRV'!K39/'Rendimenti e consumi VRV'!$K$27</f>
        <v>-0.11734693877551017</v>
      </c>
      <c r="L17" s="222">
        <f>1-'Rendimenti e consumi VRV'!L39/'Rendimenti e consumi VRV'!$L$27</f>
        <v>-9.144196951934358E-2</v>
      </c>
      <c r="M17" s="222">
        <f>1-'Rendimenti e consumi VRV'!M39/'Rendimenti e consumi VRV'!$M$27</f>
        <v>0.10098792535675083</v>
      </c>
      <c r="N17" s="222">
        <f>1-'Rendimenti e consumi VRV'!N39/'Rendimenti e consumi VRV'!$N$27</f>
        <v>0.22609673790776164</v>
      </c>
      <c r="O17" s="222">
        <f>1-'Rendimenti e consumi VRV'!O39/'Rendimenti e consumi VRV'!$O$27</f>
        <v>0.2208121827411168</v>
      </c>
      <c r="P17" s="290">
        <f>1-'Rendimenti e consumi VRV'!P39/'Rendimenti e consumi VRV'!$P$27</f>
        <v>0.217741935483871</v>
      </c>
    </row>
    <row r="18" spans="1:18" x14ac:dyDescent="0.25">
      <c r="A18" s="232">
        <v>16</v>
      </c>
      <c r="B18" s="222">
        <v>0.8</v>
      </c>
      <c r="C18" s="222">
        <f>'1-Ore funzionamento'!$AF$9</f>
        <v>0.15789473684210525</v>
      </c>
      <c r="D18" s="217">
        <f t="shared" si="1"/>
        <v>36</v>
      </c>
      <c r="E18" s="217"/>
      <c r="F18" s="222">
        <f>1-'Rendimenti e consumi VRV'!F40/'Rendimenti e consumi VRV'!$F$28</f>
        <v>0.27058823529411757</v>
      </c>
      <c r="G18" s="222">
        <f>1-'Rendimenti e consumi VRV'!G40/'Rendimenti e consumi VRV'!$G$28</f>
        <v>0.27606837606837598</v>
      </c>
      <c r="H18" s="222">
        <f>1-'Rendimenti e consumi VRV'!H40/'Rendimenti e consumi VRV'!$H$28</f>
        <v>0.28169014084507049</v>
      </c>
      <c r="I18" s="222">
        <f>1-'Rendimenti e consumi VRV'!I40/'Rendimenti e consumi VRV'!$I$28</f>
        <v>0.23684210526315785</v>
      </c>
      <c r="J18" s="217"/>
      <c r="K18" s="222">
        <f>1-'Rendimenti e consumi VRV'!K40/'Rendimenti e consumi VRV'!$K$28</f>
        <v>-9.2307692307692202E-2</v>
      </c>
      <c r="L18" s="222">
        <f>1-'Rendimenti e consumi VRV'!L40/'Rendimenti e consumi VRV'!$L$28</f>
        <v>3.5971223021582732E-2</v>
      </c>
      <c r="M18" s="222">
        <f>1-'Rendimenti e consumi VRV'!M40/'Rendimenti e consumi VRV'!$M$28</f>
        <v>0.22758620689655173</v>
      </c>
      <c r="N18" s="222">
        <f>1-'Rendimenti e consumi VRV'!N40/'Rendimenti e consumi VRV'!$N$28</f>
        <v>0.22786885245901634</v>
      </c>
      <c r="O18" s="222">
        <f>1-'Rendimenti e consumi VRV'!O40/'Rendimenti e consumi VRV'!$O$28</f>
        <v>0.21944444444444455</v>
      </c>
      <c r="P18" s="290">
        <f>1-'Rendimenti e consumi VRV'!P40/'Rendimenti e consumi VRV'!$P$28</f>
        <v>0.21568627450980382</v>
      </c>
    </row>
    <row r="19" spans="1:18" x14ac:dyDescent="0.25">
      <c r="A19" s="232">
        <v>20</v>
      </c>
      <c r="B19" s="222">
        <v>0.8</v>
      </c>
      <c r="C19" s="222">
        <f>'1-Ore funzionamento'!$AF$9</f>
        <v>0.15789473684210525</v>
      </c>
      <c r="D19" s="217">
        <f t="shared" si="1"/>
        <v>44.72</v>
      </c>
      <c r="E19" s="217"/>
      <c r="F19" s="222">
        <f>1-'Rendimenti e consumi VRV'!F41/'Rendimenti e consumi VRV'!$F$29</f>
        <v>0.27636363636363637</v>
      </c>
      <c r="G19" s="222">
        <f>1-'Rendimenti e consumi VRV'!G41/'Rendimenti e consumi VRV'!$G$29</f>
        <v>0.2752</v>
      </c>
      <c r="H19" s="222">
        <f>1-'Rendimenti e consumi VRV'!H41/'Rendimenti e consumi VRV'!$H$29</f>
        <v>0.2828947368421052</v>
      </c>
      <c r="I19" s="222">
        <f>1-'Rendimenti e consumi VRV'!I41/'Rendimenti e consumi VRV'!$I$29</f>
        <v>0.23926380368098166</v>
      </c>
      <c r="J19" s="217"/>
      <c r="K19" s="222">
        <f>1-'Rendimenti e consumi VRV'!K41/'Rendimenti e consumi VRV'!$K$29</f>
        <v>-0.10563380281690149</v>
      </c>
      <c r="L19" s="222">
        <f>1-'Rendimenti e consumi VRV'!L41/'Rendimenti e consumi VRV'!$L$29</f>
        <v>-6.5359477124182774E-3</v>
      </c>
      <c r="M19" s="222">
        <f>1-'Rendimenti e consumi VRV'!M41/'Rendimenti e consumi VRV'!$M$29</f>
        <v>0.19254658385093171</v>
      </c>
      <c r="N19" s="222">
        <f>1-'Rendimenti e consumi VRV'!N41/'Rendimenti e consumi VRV'!$N$29</f>
        <v>0.22758620689655173</v>
      </c>
      <c r="O19" s="222">
        <f>1-'Rendimenti e consumi VRV'!O41/'Rendimenti e consumi VRV'!$O$29</f>
        <v>0.22137404580152675</v>
      </c>
      <c r="P19" s="290">
        <f>1-'Rendimenti e consumi VRV'!P41/'Rendimenti e consumi VRV'!$P$29</f>
        <v>0.21599999999999997</v>
      </c>
    </row>
    <row r="20" spans="1:18" ht="16.5" thickBot="1" x14ac:dyDescent="0.3">
      <c r="A20" s="235">
        <v>26</v>
      </c>
      <c r="B20" s="236">
        <v>0.8</v>
      </c>
      <c r="C20" s="236">
        <f>'1-Ore funzionamento'!$AF$9</f>
        <v>0.15789473684210525</v>
      </c>
      <c r="D20" s="219">
        <f t="shared" si="1"/>
        <v>57.120000000000005</v>
      </c>
      <c r="E20" s="219"/>
      <c r="F20" s="236">
        <f>1-'Rendimenti e consumi VRV'!F42/'Rendimenti e consumi VRV'!$F$30</f>
        <v>0.27388535031847128</v>
      </c>
      <c r="G20" s="236">
        <f>1-'Rendimenti e consumi VRV'!G42/'Rendimenti e consumi VRV'!$G$30</f>
        <v>0.27374301675977653</v>
      </c>
      <c r="H20" s="236">
        <f>1-'Rendimenti e consumi VRV'!H42/'Rendimenti e consumi VRV'!$H$30</f>
        <v>0.27981651376146799</v>
      </c>
      <c r="I20" s="236">
        <f>1-'Rendimenti e consumi VRV'!I42/'Rendimenti e consumi VRV'!$I$30</f>
        <v>0.24034334763948506</v>
      </c>
      <c r="J20" s="219"/>
      <c r="K20" s="236">
        <f>1-'Rendimenti e consumi VRV'!K42/'Rendimenti e consumi VRV'!$K$30</f>
        <v>-0.10309278350515472</v>
      </c>
      <c r="L20" s="236">
        <f>1-'Rendimenti e consumi VRV'!L42/'Rendimenti e consumi VRV'!$L$30</f>
        <v>-2.8846153846153744E-2</v>
      </c>
      <c r="M20" s="236">
        <f>1-'Rendimenti e consumi VRV'!M42/'Rendimenti e consumi VRV'!$M$30</f>
        <v>0.1735159817351597</v>
      </c>
      <c r="N20" s="236">
        <f>1-'Rendimenti e consumi VRV'!N42/'Rendimenti e consumi VRV'!$N$30</f>
        <v>0.22388059701492546</v>
      </c>
      <c r="O20" s="236">
        <f>1-'Rendimenti e consumi VRV'!O42/'Rendimenti e consumi VRV'!$O$30</f>
        <v>0.22099447513812165</v>
      </c>
      <c r="P20" s="291">
        <f>1-'Rendimenti e consumi VRV'!P42/'Rendimenti e consumi VRV'!$P$30</f>
        <v>0.21965317919075145</v>
      </c>
    </row>
    <row r="21" spans="1:18" x14ac:dyDescent="0.25">
      <c r="A21" s="229">
        <v>8</v>
      </c>
      <c r="B21" s="230">
        <v>0.7</v>
      </c>
      <c r="C21" s="230">
        <f>'1-Ore funzionamento'!$AF$10</f>
        <v>0.2</v>
      </c>
      <c r="D21" s="218">
        <f t="shared" ref="D21:D26" si="2">D3*0.7</f>
        <v>15.679999999999998</v>
      </c>
      <c r="E21" s="218"/>
      <c r="F21" s="230">
        <f>1-'Rendimenti e consumi VRV'!F43/'Rendimenti e consumi VRV'!$F$25</f>
        <v>0.39401496259351609</v>
      </c>
      <c r="G21" s="230">
        <f>1-'Rendimenti e consumi VRV'!G43/'Rendimenti e consumi VRV'!$G$25</f>
        <v>0.3973799126637555</v>
      </c>
      <c r="H21" s="230">
        <f>1-'Rendimenti e consumi VRV'!H43/'Rendimenti e consumi VRV'!$H$25</f>
        <v>0.40107913669064743</v>
      </c>
      <c r="I21" s="230">
        <f>1-'Rendimenti e consumi VRV'!I43/'Rendimenti e consumi VRV'!$I$25</f>
        <v>0.36974789915966388</v>
      </c>
      <c r="J21" s="218"/>
      <c r="K21" s="230">
        <f>1-'Rendimenti e consumi VRV'!K43/'Rendimenti e consumi VRV'!$K$25</f>
        <v>0.11930926216640503</v>
      </c>
      <c r="L21" s="230">
        <f>1-'Rendimenti e consumi VRV'!L43/'Rendimenti e consumi VRV'!$L$25</f>
        <v>0.29123328380386337</v>
      </c>
      <c r="M21" s="230">
        <f>1-'Rendimenti e consumi VRV'!M43/'Rendimenti e consumi VRV'!$M$25</f>
        <v>0.33858267716535428</v>
      </c>
      <c r="N21" s="230">
        <f>1-'Rendimenti e consumi VRV'!N43/'Rendimenti e consumi VRV'!$N$25</f>
        <v>0.35665529010238906</v>
      </c>
      <c r="O21" s="230">
        <f>1-'Rendimenti e consumi VRV'!O43/'Rendimenti e consumi VRV'!$O$25</f>
        <v>0.3282442748091603</v>
      </c>
      <c r="P21" s="289">
        <f>1-'Rendimenti e consumi VRV'!P43/'Rendimenti e consumi VRV'!$P$25</f>
        <v>0.32544378698224852</v>
      </c>
      <c r="Q21" s="153">
        <f>AVERAGE(F21:I26)</f>
        <v>0.39027606575334151</v>
      </c>
      <c r="R21" s="153">
        <f>AVERAGE(K21:P26)</f>
        <v>0.23348664724510076</v>
      </c>
    </row>
    <row r="22" spans="1:18" x14ac:dyDescent="0.25">
      <c r="A22" s="232">
        <v>10</v>
      </c>
      <c r="B22" s="222">
        <v>0.7</v>
      </c>
      <c r="C22" s="222">
        <f>'1-Ore funzionamento'!$AF$10</f>
        <v>0.2</v>
      </c>
      <c r="D22" s="217">
        <f t="shared" si="2"/>
        <v>19.599999999999998</v>
      </c>
      <c r="E22" s="217"/>
      <c r="F22" s="222">
        <f>1-'Rendimenti e consumi VRV'!F44/'Rendimenti e consumi VRV'!$F$26</f>
        <v>0.39252336448598124</v>
      </c>
      <c r="G22" s="222">
        <f>1-'Rendimenti e consumi VRV'!G44/'Rendimenti e consumi VRV'!$G$26</f>
        <v>0.39607201309328977</v>
      </c>
      <c r="H22" s="222">
        <f>1-'Rendimenti e consumi VRV'!H44/'Rendimenti e consumi VRV'!$H$26</f>
        <v>0.40161725067385434</v>
      </c>
      <c r="I22" s="222">
        <f>1-'Rendimenti e consumi VRV'!I44/'Rendimenti e consumi VRV'!$I$26</f>
        <v>0.36901763224181361</v>
      </c>
      <c r="J22" s="217"/>
      <c r="K22" s="222">
        <f>1-'Rendimenti e consumi VRV'!K44/'Rendimenti e consumi VRV'!$K$26</f>
        <v>2.8169014084507116E-2</v>
      </c>
      <c r="L22" s="222">
        <f>1-'Rendimenti e consumi VRV'!L44/'Rendimenti e consumi VRV'!$L$26</f>
        <v>0.24725274725274726</v>
      </c>
      <c r="M22" s="222">
        <f>1-'Rendimenti e consumi VRV'!M44/'Rendimenti e consumi VRV'!$M$26</f>
        <v>0.34137931034482749</v>
      </c>
      <c r="N22" s="222">
        <f>1-'Rendimenti e consumi VRV'!N44/'Rendimenti e consumi VRV'!$N$26</f>
        <v>0.33103448275862069</v>
      </c>
      <c r="O22" s="222">
        <f>1-'Rendimenti e consumi VRV'!O44/'Rendimenti e consumi VRV'!$O$26</f>
        <v>0.32453416149068337</v>
      </c>
      <c r="P22" s="290">
        <f>1-'Rendimenti e consumi VRV'!P44/'Rendimenti e consumi VRV'!$P$26</f>
        <v>0.32072368421052633</v>
      </c>
    </row>
    <row r="23" spans="1:18" x14ac:dyDescent="0.25">
      <c r="A23" s="232">
        <v>12</v>
      </c>
      <c r="B23" s="222">
        <v>0.7</v>
      </c>
      <c r="C23" s="222">
        <f>'1-Ore funzionamento'!$AF$10</f>
        <v>0.2</v>
      </c>
      <c r="D23" s="217">
        <f t="shared" si="2"/>
        <v>23.45</v>
      </c>
      <c r="E23" s="217"/>
      <c r="F23" s="222">
        <f>1-'Rendimenti e consumi VRV'!F45/'Rendimenti e consumi VRV'!$F$27</f>
        <v>0.39249639249639245</v>
      </c>
      <c r="G23" s="222">
        <f>1-'Rendimenti e consumi VRV'!G45/'Rendimenti e consumi VRV'!$G$27</f>
        <v>0.39646464646464641</v>
      </c>
      <c r="H23" s="222">
        <f>1-'Rendimenti e consumi VRV'!H45/'Rendimenti e consumi VRV'!$H$27</f>
        <v>0.40228690228690223</v>
      </c>
      <c r="I23" s="222">
        <f>1-'Rendimenti e consumi VRV'!I45/'Rendimenti e consumi VRV'!$I$27</f>
        <v>0.36893203883495151</v>
      </c>
      <c r="J23" s="217"/>
      <c r="K23" s="222">
        <f>1-'Rendimenti e consumi VRV'!K45/'Rendimenti e consumi VRV'!$K$27</f>
        <v>-0.17602040816326547</v>
      </c>
      <c r="L23" s="222">
        <f>1-'Rendimenti e consumi VRV'!L45/'Rendimenti e consumi VRV'!$L$27</f>
        <v>1.2895662368112459E-2</v>
      </c>
      <c r="M23" s="222">
        <f>1-'Rendimenti e consumi VRV'!M45/'Rendimenti e consumi VRV'!$M$27</f>
        <v>0.22832052689352356</v>
      </c>
      <c r="N23" s="222">
        <f>1-'Rendimenti e consumi VRV'!N45/'Rendimenti e consumi VRV'!$N$27</f>
        <v>0.33183352080989881</v>
      </c>
      <c r="O23" s="222">
        <f>1-'Rendimenti e consumi VRV'!O45/'Rendimenti e consumi VRV'!$O$27</f>
        <v>0.32360406091370553</v>
      </c>
      <c r="P23" s="290">
        <f>1-'Rendimenti e consumi VRV'!P45/'Rendimenti e consumi VRV'!$P$27</f>
        <v>0.31989247311827962</v>
      </c>
    </row>
    <row r="24" spans="1:18" x14ac:dyDescent="0.25">
      <c r="A24" s="232">
        <v>16</v>
      </c>
      <c r="B24" s="222">
        <v>0.7</v>
      </c>
      <c r="C24" s="222">
        <f>'1-Ore funzionamento'!$AF$10</f>
        <v>0.2</v>
      </c>
      <c r="D24" s="217">
        <f t="shared" si="2"/>
        <v>31.499999999999996</v>
      </c>
      <c r="E24" s="217"/>
      <c r="F24" s="222">
        <f>1-'Rendimenti e consumi VRV'!F46/'Rendimenti e consumi VRV'!$F$28</f>
        <v>0.39117647058823524</v>
      </c>
      <c r="G24" s="222">
        <f>1-'Rendimenti e consumi VRV'!G46/'Rendimenti e consumi VRV'!$G$28</f>
        <v>0.39743589743589747</v>
      </c>
      <c r="H24" s="222">
        <f>1-'Rendimenti e consumi VRV'!H46/'Rendimenti e consumi VRV'!$H$28</f>
        <v>0.40211267605633794</v>
      </c>
      <c r="I24" s="222">
        <f>1-'Rendimenti e consumi VRV'!I46/'Rendimenti e consumi VRV'!$I$28</f>
        <v>0.36842105263157898</v>
      </c>
      <c r="J24" s="217"/>
      <c r="K24" s="222">
        <f>1-'Rendimenti e consumi VRV'!K46/'Rendimenti e consumi VRV'!$K$28</f>
        <v>-6.1538461538461542E-2</v>
      </c>
      <c r="L24" s="222">
        <f>1-'Rendimenti e consumi VRV'!L46/'Rendimenti e consumi VRV'!$L$28</f>
        <v>0.17985611510791366</v>
      </c>
      <c r="M24" s="222">
        <f>1-'Rendimenti e consumi VRV'!M46/'Rendimenti e consumi VRV'!$M$28</f>
        <v>0.33931034482758615</v>
      </c>
      <c r="N24" s="222">
        <f>1-'Rendimenti e consumi VRV'!N46/'Rendimenti e consumi VRV'!$N$28</f>
        <v>0.33360655737704903</v>
      </c>
      <c r="O24" s="222">
        <f>1-'Rendimenti e consumi VRV'!O46/'Rendimenti e consumi VRV'!$O$28</f>
        <v>0.32314814814814818</v>
      </c>
      <c r="P24" s="290">
        <f>1-'Rendimenti e consumi VRV'!P46/'Rendimenti e consumi VRV'!$P$28</f>
        <v>0.31862745098039214</v>
      </c>
    </row>
    <row r="25" spans="1:18" x14ac:dyDescent="0.25">
      <c r="A25" s="232">
        <v>20</v>
      </c>
      <c r="B25" s="222">
        <v>0.7</v>
      </c>
      <c r="C25" s="222">
        <f>'1-Ore funzionamento'!$AF$10</f>
        <v>0.2</v>
      </c>
      <c r="D25" s="217">
        <f t="shared" si="2"/>
        <v>39.129999999999995</v>
      </c>
      <c r="E25" s="217"/>
      <c r="F25" s="222">
        <f>1-'Rendimenti e consumi VRV'!F47/'Rendimenti e consumi VRV'!$F$29</f>
        <v>0.39545454545454539</v>
      </c>
      <c r="G25" s="222">
        <f>1-'Rendimenti e consumi VRV'!G47/'Rendimenti e consumi VRV'!$G$29</f>
        <v>0.39600000000000002</v>
      </c>
      <c r="H25" s="222">
        <f>1-'Rendimenti e consumi VRV'!H47/'Rendimenti e consumi VRV'!$H$29</f>
        <v>0.40197368421052626</v>
      </c>
      <c r="I25" s="222">
        <f>1-'Rendimenti e consumi VRV'!I47/'Rendimenti e consumi VRV'!$I$29</f>
        <v>0.36809815950920244</v>
      </c>
      <c r="J25" s="217"/>
      <c r="K25" s="222">
        <f>1-'Rendimenti e consumi VRV'!K47/'Rendimenti e consumi VRV'!$K$29</f>
        <v>-0.10563380281690149</v>
      </c>
      <c r="L25" s="222">
        <f>1-'Rendimenti e consumi VRV'!L47/'Rendimenti e consumi VRV'!$L$29</f>
        <v>0.14379084967320266</v>
      </c>
      <c r="M25" s="222">
        <f>1-'Rendimenti e consumi VRV'!M47/'Rendimenti e consumi VRV'!$M$29</f>
        <v>0.30434782608695665</v>
      </c>
      <c r="N25" s="222">
        <f>1-'Rendimenti e consumi VRV'!N47/'Rendimenti e consumi VRV'!$N$29</f>
        <v>0.32965517241379305</v>
      </c>
      <c r="O25" s="222">
        <f>1-'Rendimenti e consumi VRV'!O47/'Rendimenti e consumi VRV'!$O$29</f>
        <v>0.32366412213740459</v>
      </c>
      <c r="P25" s="290">
        <f>1-'Rendimenti e consumi VRV'!P47/'Rendimenti e consumi VRV'!$P$29</f>
        <v>0.3216</v>
      </c>
    </row>
    <row r="26" spans="1:18" ht="16.5" thickBot="1" x14ac:dyDescent="0.3">
      <c r="A26" s="235">
        <v>26</v>
      </c>
      <c r="B26" s="236">
        <v>0.7</v>
      </c>
      <c r="C26" s="236">
        <f>'1-Ore funzionamento'!$AF$10</f>
        <v>0.2</v>
      </c>
      <c r="D26" s="219">
        <f t="shared" si="2"/>
        <v>49.980000000000004</v>
      </c>
      <c r="E26" s="219"/>
      <c r="F26" s="236">
        <f>1-'Rendimenti e consumi VRV'!F48/'Rendimenti e consumi VRV'!$F$30</f>
        <v>0.39490445859872614</v>
      </c>
      <c r="G26" s="236">
        <f>1-'Rendimenti e consumi VRV'!G48/'Rendimenti e consumi VRV'!$G$30</f>
        <v>0.39664804469273729</v>
      </c>
      <c r="H26" s="236">
        <f>1-'Rendimenti e consumi VRV'!H48/'Rendimenti e consumi VRV'!$H$30</f>
        <v>0.40366972477064222</v>
      </c>
      <c r="I26" s="236">
        <f>1-'Rendimenti e consumi VRV'!I48/'Rendimenti e consumi VRV'!$I$30</f>
        <v>0.36909871244635195</v>
      </c>
      <c r="J26" s="219"/>
      <c r="K26" s="236">
        <f>1-'Rendimenti e consumi VRV'!K48/'Rendimenti e consumi VRV'!$K$30</f>
        <v>-0.12886597938144329</v>
      </c>
      <c r="L26" s="236">
        <f>1-'Rendimenti e consumi VRV'!L48/'Rendimenti e consumi VRV'!$L$30</f>
        <v>0.12019230769230771</v>
      </c>
      <c r="M26" s="236">
        <f>1-'Rendimenti e consumi VRV'!M48/'Rendimenti e consumi VRV'!$M$30</f>
        <v>0.28767123287671226</v>
      </c>
      <c r="N26" s="236">
        <f>1-'Rendimenti e consumi VRV'!N48/'Rendimenti e consumi VRV'!$N$30</f>
        <v>0.33333333333333337</v>
      </c>
      <c r="O26" s="236">
        <f>1-'Rendimenti e consumi VRV'!O48/'Rendimenti e consumi VRV'!$O$30</f>
        <v>0.32596685082872934</v>
      </c>
      <c r="P26" s="291">
        <f>1-'Rendimenti e consumi VRV'!P48/'Rendimenti e consumi VRV'!$P$30</f>
        <v>0.32369942196531798</v>
      </c>
    </row>
    <row r="27" spans="1:18" x14ac:dyDescent="0.25">
      <c r="A27" s="229">
        <v>8</v>
      </c>
      <c r="B27" s="230">
        <v>0.6</v>
      </c>
      <c r="C27" s="230">
        <f>'1-Ore funzionamento'!$AF$11</f>
        <v>0.22105263157894736</v>
      </c>
      <c r="D27" s="218">
        <f t="shared" ref="D27:D32" si="3">D3*0.6</f>
        <v>13.44</v>
      </c>
      <c r="E27" s="218"/>
      <c r="F27" s="230">
        <f>1-'Rendimenti e consumi VRV'!F49/'Rendimenti e consumi VRV'!$F$25</f>
        <v>0.50124688279301743</v>
      </c>
      <c r="G27" s="230">
        <f>1-'Rendimenti e consumi VRV'!G49/'Rendimenti e consumi VRV'!$G$25</f>
        <v>0.50655021834061142</v>
      </c>
      <c r="H27" s="230">
        <f>1-'Rendimenti e consumi VRV'!H49/'Rendimenti e consumi VRV'!$H$25</f>
        <v>0.51258992805755388</v>
      </c>
      <c r="I27" s="230">
        <f>1-'Rendimenti e consumi VRV'!I49/'Rendimenti e consumi VRV'!$I$25</f>
        <v>0.48739495798319332</v>
      </c>
      <c r="J27" s="218"/>
      <c r="K27" s="230">
        <f>1-'Rendimenti e consumi VRV'!K49/'Rendimenti e consumi VRV'!$K$25</f>
        <v>0.26373626373626369</v>
      </c>
      <c r="L27" s="230">
        <f>1-'Rendimenti e consumi VRV'!L49/'Rendimenti e consumi VRV'!$L$25</f>
        <v>0.40416047548291245</v>
      </c>
      <c r="M27" s="230">
        <f>1-'Rendimenti e consumi VRV'!M49/'Rendimenti e consumi VRV'!$M$25</f>
        <v>0.44094488188976377</v>
      </c>
      <c r="N27" s="230">
        <f>1-'Rendimenti e consumi VRV'!N49/'Rendimenti e consumi VRV'!$N$25</f>
        <v>0.4539249146757679</v>
      </c>
      <c r="O27" s="230">
        <f>1-'Rendimenti e consumi VRV'!O49/'Rendimenti e consumi VRV'!$O$25</f>
        <v>0.4274809160305344</v>
      </c>
      <c r="P27" s="289">
        <f>1-'Rendimenti e consumi VRV'!P49/'Rendimenti e consumi VRV'!$P$25</f>
        <v>0.42406311637080873</v>
      </c>
      <c r="Q27" s="153">
        <f>AVERAGE(F27:I32)</f>
        <v>0.50214934788958199</v>
      </c>
      <c r="R27" s="153">
        <f>AVERAGE(K27:P32)</f>
        <v>0.34940031091534418</v>
      </c>
    </row>
    <row r="28" spans="1:18" x14ac:dyDescent="0.25">
      <c r="A28" s="232">
        <v>10</v>
      </c>
      <c r="B28" s="222">
        <v>0.6</v>
      </c>
      <c r="C28" s="222">
        <f>'1-Ore funzionamento'!$AF$11</f>
        <v>0.22105263157894736</v>
      </c>
      <c r="D28" s="217">
        <f t="shared" si="3"/>
        <v>16.8</v>
      </c>
      <c r="E28" s="217"/>
      <c r="F28" s="222">
        <f>1-'Rendimenti e consumi VRV'!F50/'Rendimenti e consumi VRV'!$F$26</f>
        <v>0.50280373831775693</v>
      </c>
      <c r="G28" s="222">
        <f>1-'Rendimenti e consumi VRV'!G50/'Rendimenti e consumi VRV'!$G$26</f>
        <v>0.50572831423895259</v>
      </c>
      <c r="H28" s="222">
        <f>1-'Rendimenti e consumi VRV'!H50/'Rendimenti e consumi VRV'!$H$26</f>
        <v>0.5121293800539084</v>
      </c>
      <c r="I28" s="222">
        <f>1-'Rendimenti e consumi VRV'!I50/'Rendimenti e consumi VRV'!$I$26</f>
        <v>0.48740554156171279</v>
      </c>
      <c r="J28" s="217"/>
      <c r="K28" s="222">
        <f>1-'Rendimenti e consumi VRV'!K50/'Rendimenti e consumi VRV'!$K$26</f>
        <v>0.19131455399061037</v>
      </c>
      <c r="L28" s="222">
        <f>1-'Rendimenti e consumi VRV'!L50/'Rendimenti e consumi VRV'!$L$26</f>
        <v>0.36923076923076914</v>
      </c>
      <c r="M28" s="222">
        <f>1-'Rendimenti e consumi VRV'!M50/'Rendimenti e consumi VRV'!$M$26</f>
        <v>0.44367816091954015</v>
      </c>
      <c r="N28" s="222">
        <f>1-'Rendimenti e consumi VRV'!N50/'Rendimenti e consumi VRV'!$N$26</f>
        <v>0.43172413793103448</v>
      </c>
      <c r="O28" s="222">
        <f>1-'Rendimenti e consumi VRV'!O50/'Rendimenti e consumi VRV'!$O$26</f>
        <v>0.42236024844720499</v>
      </c>
      <c r="P28" s="290">
        <f>1-'Rendimenti e consumi VRV'!P50/'Rendimenti e consumi VRV'!$P$26</f>
        <v>0.41776315789473684</v>
      </c>
    </row>
    <row r="29" spans="1:18" x14ac:dyDescent="0.25">
      <c r="A29" s="232">
        <v>12</v>
      </c>
      <c r="B29" s="222">
        <v>0.6</v>
      </c>
      <c r="C29" s="222">
        <f>'1-Ore funzionamento'!$AF$11</f>
        <v>0.22105263157894736</v>
      </c>
      <c r="D29" s="217">
        <f t="shared" si="3"/>
        <v>20.099999999999998</v>
      </c>
      <c r="E29" s="217"/>
      <c r="F29" s="222">
        <f>1-'Rendimenti e consumi VRV'!F51/'Rendimenti e consumi VRV'!$F$27</f>
        <v>0.50216450216450204</v>
      </c>
      <c r="G29" s="222">
        <f>1-'Rendimenti e consumi VRV'!G51/'Rendimenti e consumi VRV'!$G$27</f>
        <v>0.50631313131313127</v>
      </c>
      <c r="H29" s="222">
        <f>1-'Rendimenti e consumi VRV'!H51/'Rendimenti e consumi VRV'!$H$27</f>
        <v>0.51247401247401236</v>
      </c>
      <c r="I29" s="222">
        <f>1-'Rendimenti e consumi VRV'!I51/'Rendimenti e consumi VRV'!$I$27</f>
        <v>0.48737864077669901</v>
      </c>
      <c r="J29" s="217"/>
      <c r="K29" s="222">
        <f>1-'Rendimenti e consumi VRV'!K51/'Rendimenti e consumi VRV'!$K$27</f>
        <v>-8.2908163265306145E-2</v>
      </c>
      <c r="L29" s="222">
        <f>1-'Rendimenti e consumi VRV'!L51/'Rendimenti e consumi VRV'!$L$27</f>
        <v>0.17233294255568576</v>
      </c>
      <c r="M29" s="222">
        <f>1-'Rendimenti e consumi VRV'!M51/'Rendimenti e consumi VRV'!$M$27</f>
        <v>0.34796926454445654</v>
      </c>
      <c r="N29" s="222">
        <f>1-'Rendimenti e consumi VRV'!N51/'Rendimenti e consumi VRV'!$N$27</f>
        <v>0.4319460067491564</v>
      </c>
      <c r="O29" s="222">
        <f>1-'Rendimenti e consumi VRV'!O51/'Rendimenti e consumi VRV'!$O$27</f>
        <v>0.42258883248730961</v>
      </c>
      <c r="P29" s="290">
        <f>1-'Rendimenti e consumi VRV'!P51/'Rendimenti e consumi VRV'!$P$27</f>
        <v>0.41801075268817212</v>
      </c>
    </row>
    <row r="30" spans="1:18" x14ac:dyDescent="0.25">
      <c r="A30" s="232">
        <v>16</v>
      </c>
      <c r="B30" s="222">
        <v>0.6</v>
      </c>
      <c r="C30" s="222">
        <f>'1-Ore funzionamento'!$AF$11</f>
        <v>0.22105263157894736</v>
      </c>
      <c r="D30" s="217">
        <f t="shared" si="3"/>
        <v>27</v>
      </c>
      <c r="E30" s="217"/>
      <c r="F30" s="222">
        <f>1-'Rendimenti e consumi VRV'!F52/'Rendimenti e consumi VRV'!$F$28</f>
        <v>0.5</v>
      </c>
      <c r="G30" s="222">
        <f>1-'Rendimenti e consumi VRV'!G52/'Rendimenti e consumi VRV'!$G$28</f>
        <v>0.50598290598290596</v>
      </c>
      <c r="H30" s="222">
        <f>1-'Rendimenti e consumi VRV'!H52/'Rendimenti e consumi VRV'!$H$28</f>
        <v>0.51267605633802815</v>
      </c>
      <c r="I30" s="222">
        <f>1-'Rendimenti e consumi VRV'!I52/'Rendimenti e consumi VRV'!$I$28</f>
        <v>0.48749999999999993</v>
      </c>
      <c r="J30" s="217"/>
      <c r="K30" s="222">
        <f>1-'Rendimenti e consumi VRV'!K52/'Rendimenti e consumi VRV'!$K$28</f>
        <v>0.11538461538461542</v>
      </c>
      <c r="L30" s="222">
        <f>1-'Rendimenti e consumi VRV'!L52/'Rendimenti e consumi VRV'!$L$28</f>
        <v>0.3107913669064748</v>
      </c>
      <c r="M30" s="222">
        <f>1-'Rendimenti e consumi VRV'!M52/'Rendimenti e consumi VRV'!$M$28</f>
        <v>0.4420689655172414</v>
      </c>
      <c r="N30" s="222">
        <f>1-'Rendimenti e consumi VRV'!N52/'Rendimenti e consumi VRV'!$N$28</f>
        <v>0.43360655737704912</v>
      </c>
      <c r="O30" s="222">
        <f>1-'Rendimenti e consumi VRV'!O52/'Rendimenti e consumi VRV'!$O$28</f>
        <v>0.42222222222222228</v>
      </c>
      <c r="P30" s="290">
        <f>1-'Rendimenti e consumi VRV'!P52/'Rendimenti e consumi VRV'!$P$28</f>
        <v>0.41666666666666663</v>
      </c>
    </row>
    <row r="31" spans="1:18" x14ac:dyDescent="0.25">
      <c r="A31" s="232">
        <v>20</v>
      </c>
      <c r="B31" s="222">
        <v>0.6</v>
      </c>
      <c r="C31" s="222">
        <f>'1-Ore funzionamento'!$AF$11</f>
        <v>0.22105263157894736</v>
      </c>
      <c r="D31" s="217">
        <f t="shared" si="3"/>
        <v>33.54</v>
      </c>
      <c r="E31" s="217"/>
      <c r="F31" s="222">
        <f>1-'Rendimenti e consumi VRV'!F53/'Rendimenti e consumi VRV'!$F$29</f>
        <v>0.50363636363636366</v>
      </c>
      <c r="G31" s="222">
        <f>1-'Rendimenti e consumi VRV'!G53/'Rendimenti e consumi VRV'!$G$29</f>
        <v>0.50560000000000005</v>
      </c>
      <c r="H31" s="222">
        <f>1-'Rendimenti e consumi VRV'!H53/'Rendimenti e consumi VRV'!$H$29</f>
        <v>0.51249999999999996</v>
      </c>
      <c r="I31" s="222">
        <f>1-'Rendimenti e consumi VRV'!I53/'Rendimenti e consumi VRV'!$I$29</f>
        <v>0.48834355828220866</v>
      </c>
      <c r="J31" s="217"/>
      <c r="K31" s="222">
        <f>1-'Rendimenti e consumi VRV'!K53/'Rendimenti e consumi VRV'!$K$29</f>
        <v>7.7464788732394374E-2</v>
      </c>
      <c r="L31" s="222">
        <f>1-'Rendimenti e consumi VRV'!L53/'Rendimenti e consumi VRV'!$L$29</f>
        <v>0.28104575163398693</v>
      </c>
      <c r="M31" s="222">
        <f>1-'Rendimenti e consumi VRV'!M53/'Rendimenti e consumi VRV'!$M$29</f>
        <v>0.41180124223602488</v>
      </c>
      <c r="N31" s="222">
        <f>1-'Rendimenti e consumi VRV'!N53/'Rendimenti e consumi VRV'!$N$29</f>
        <v>0.43034482758620696</v>
      </c>
      <c r="O31" s="222">
        <f>1-'Rendimenti e consumi VRV'!O53/'Rendimenti e consumi VRV'!$O$29</f>
        <v>0.42290076335877869</v>
      </c>
      <c r="P31" s="290">
        <f>1-'Rendimenti e consumi VRV'!P53/'Rendimenti e consumi VRV'!$P$29</f>
        <v>0.42000000000000004</v>
      </c>
    </row>
    <row r="32" spans="1:18" ht="16.5" thickBot="1" x14ac:dyDescent="0.3">
      <c r="A32" s="235">
        <v>26</v>
      </c>
      <c r="B32" s="236">
        <v>0.6</v>
      </c>
      <c r="C32" s="236">
        <f>'1-Ore funzionamento'!$AF$11</f>
        <v>0.22105263157894736</v>
      </c>
      <c r="D32" s="219">
        <f t="shared" si="3"/>
        <v>42.84</v>
      </c>
      <c r="E32" s="219"/>
      <c r="F32" s="236">
        <f>1-'Rendimenti e consumi VRV'!F54/'Rendimenti e consumi VRV'!$F$30</f>
        <v>0.50254777070063694</v>
      </c>
      <c r="G32" s="236">
        <f>1-'Rendimenti e consumi VRV'!G54/'Rendimenti e consumi VRV'!$G$30</f>
        <v>0.505586592178771</v>
      </c>
      <c r="H32" s="236">
        <f>1-'Rendimenti e consumi VRV'!H54/'Rendimenti e consumi VRV'!$H$30</f>
        <v>0.51376146788990829</v>
      </c>
      <c r="I32" s="236">
        <f>1-'Rendimenti e consumi VRV'!I54/'Rendimenti e consumi VRV'!$I$30</f>
        <v>0.48927038626609443</v>
      </c>
      <c r="J32" s="219"/>
      <c r="K32" s="236">
        <f>1-'Rendimenti e consumi VRV'!K54/'Rendimenti e consumi VRV'!$K$30</f>
        <v>5.6701030927834961E-2</v>
      </c>
      <c r="L32" s="236">
        <f>1-'Rendimenti e consumi VRV'!L54/'Rendimenti e consumi VRV'!$L$30</f>
        <v>0.25961538461538458</v>
      </c>
      <c r="M32" s="236">
        <f>1-'Rendimenti e consumi VRV'!M54/'Rendimenti e consumi VRV'!$M$30</f>
        <v>0.39726027397260277</v>
      </c>
      <c r="N32" s="236">
        <f>1-'Rendimenti e consumi VRV'!N54/'Rendimenti e consumi VRV'!$N$30</f>
        <v>0.43283582089552242</v>
      </c>
      <c r="O32" s="236">
        <f>1-'Rendimenti e consumi VRV'!O54/'Rendimenti e consumi VRV'!$O$30</f>
        <v>0.425414364640884</v>
      </c>
      <c r="P32" s="291">
        <f>1-'Rendimenti e consumi VRV'!P54/'Rendimenti e consumi VRV'!$P$30</f>
        <v>0.42196531791907521</v>
      </c>
    </row>
    <row r="33" spans="1:18" x14ac:dyDescent="0.25">
      <c r="A33" s="229">
        <v>8</v>
      </c>
      <c r="B33" s="230">
        <v>0.5</v>
      </c>
      <c r="C33" s="230">
        <f>'1-Ore funzionamento'!$AF$12</f>
        <v>0.2</v>
      </c>
      <c r="D33" s="218">
        <f t="shared" ref="D33:D38" si="4">D3*0.5</f>
        <v>11.2</v>
      </c>
      <c r="E33" s="218"/>
      <c r="F33" s="230">
        <f>1-'Rendimenti e consumi VRV'!F55/'Rendimenti e consumi VRV'!$F$25</f>
        <v>0.59850374064837908</v>
      </c>
      <c r="G33" s="230">
        <f>1-'Rendimenti e consumi VRV'!G55/'Rendimenti e consumi VRV'!$G$25</f>
        <v>0.60480349344978168</v>
      </c>
      <c r="H33" s="230">
        <f>1-'Rendimenti e consumi VRV'!H55/'Rendimenti e consumi VRV'!$H$25</f>
        <v>0.61151079136690645</v>
      </c>
      <c r="I33" s="230">
        <f>1-'Rendimenti e consumi VRV'!I55/'Rendimenti e consumi VRV'!$I$25</f>
        <v>0.59327731092436975</v>
      </c>
      <c r="J33" s="218"/>
      <c r="K33" s="230">
        <f>1-'Rendimenti e consumi VRV'!K55/'Rendimenti e consumi VRV'!$K$25</f>
        <v>0.39780219780219783</v>
      </c>
      <c r="L33" s="230">
        <f>1-'Rendimenti e consumi VRV'!L55/'Rendimenti e consumi VRV'!$L$25</f>
        <v>0.50965824665676085</v>
      </c>
      <c r="M33" s="230">
        <f>1-'Rendimenti e consumi VRV'!M55/'Rendimenti e consumi VRV'!$M$25</f>
        <v>0.53700787401574801</v>
      </c>
      <c r="N33" s="230">
        <f>1-'Rendimenti e consumi VRV'!N55/'Rendimenti e consumi VRV'!$N$25</f>
        <v>0.5460750853242321</v>
      </c>
      <c r="O33" s="230">
        <f>1-'Rendimenti e consumi VRV'!O55/'Rendimenti e consumi VRV'!$O$25</f>
        <v>0.5209923664122138</v>
      </c>
      <c r="P33" s="289">
        <f>1-'Rendimenti e consumi VRV'!P55/'Rendimenti e consumi VRV'!$P$25</f>
        <v>0.51873767258382641</v>
      </c>
      <c r="Q33" s="153">
        <f>AVERAGE(F33:I38)</f>
        <v>0.60192736980205519</v>
      </c>
      <c r="R33" s="153">
        <f>AVERAGE(K33:P38)</f>
        <v>0.46247128720866548</v>
      </c>
    </row>
    <row r="34" spans="1:18" x14ac:dyDescent="0.25">
      <c r="A34" s="232">
        <v>10</v>
      </c>
      <c r="B34" s="222">
        <v>0.5</v>
      </c>
      <c r="C34" s="222">
        <f>'1-Ore funzionamento'!$AF$12</f>
        <v>0.2</v>
      </c>
      <c r="D34" s="217">
        <f t="shared" si="4"/>
        <v>14</v>
      </c>
      <c r="E34" s="217"/>
      <c r="F34" s="222">
        <f>1-'Rendimenti e consumi VRV'!F56/'Rendimenti e consumi VRV'!$F$26</f>
        <v>0.6</v>
      </c>
      <c r="G34" s="222">
        <f>1-'Rendimenti e consumi VRV'!G56/'Rendimenti e consumi VRV'!$G$26</f>
        <v>0.60392798690671035</v>
      </c>
      <c r="H34" s="222">
        <f>1-'Rendimenti e consumi VRV'!H56/'Rendimenti e consumi VRV'!$H$26</f>
        <v>0.61185983827493262</v>
      </c>
      <c r="I34" s="222">
        <f>1-'Rendimenti e consumi VRV'!I56/'Rendimenti e consumi VRV'!$I$26</f>
        <v>0.59319899244332497</v>
      </c>
      <c r="J34" s="217"/>
      <c r="K34" s="222">
        <f>1-'Rendimenti e consumi VRV'!K56/'Rendimenti e consumi VRV'!$K$26</f>
        <v>0.34272300469483574</v>
      </c>
      <c r="L34" s="222">
        <f>1-'Rendimenti e consumi VRV'!L56/'Rendimenti e consumi VRV'!$L$26</f>
        <v>0.48351648351648346</v>
      </c>
      <c r="M34" s="222">
        <f>1-'Rendimenti e consumi VRV'!M56/'Rendimenti e consumi VRV'!$M$26</f>
        <v>0.54137931034482745</v>
      </c>
      <c r="N34" s="222">
        <f>1-'Rendimenti e consumi VRV'!N56/'Rendimenti e consumi VRV'!$N$26</f>
        <v>0.52689655172413796</v>
      </c>
      <c r="O34" s="222">
        <f>1-'Rendimenti e consumi VRV'!O56/'Rendimenti e consumi VRV'!$O$26</f>
        <v>0.51708074534161497</v>
      </c>
      <c r="P34" s="290">
        <f>1-'Rendimenti e consumi VRV'!P56/'Rendimenti e consumi VRV'!$P$26</f>
        <v>0.51151315789473684</v>
      </c>
    </row>
    <row r="35" spans="1:18" x14ac:dyDescent="0.25">
      <c r="A35" s="232">
        <v>12</v>
      </c>
      <c r="B35" s="222">
        <v>0.5</v>
      </c>
      <c r="C35" s="222">
        <f>'1-Ore funzionamento'!$AF$12</f>
        <v>0.2</v>
      </c>
      <c r="D35" s="217">
        <f t="shared" si="4"/>
        <v>16.75</v>
      </c>
      <c r="E35" s="217"/>
      <c r="F35" s="222">
        <f>1-'Rendimenti e consumi VRV'!F57/'Rendimenti e consumi VRV'!$F$27</f>
        <v>0.59884559884559885</v>
      </c>
      <c r="G35" s="222">
        <f>1-'Rendimenti e consumi VRV'!G57/'Rendimenti e consumi VRV'!$G$27</f>
        <v>0.60353535353535359</v>
      </c>
      <c r="H35" s="222">
        <f>1-'Rendimenti e consumi VRV'!H57/'Rendimenti e consumi VRV'!$H$27</f>
        <v>0.61122661122661115</v>
      </c>
      <c r="I35" s="222">
        <f>1-'Rendimenti e consumi VRV'!I57/'Rendimenti e consumi VRV'!$I$27</f>
        <v>0.59320388349514563</v>
      </c>
      <c r="J35" s="217"/>
      <c r="K35" s="222">
        <f>1-'Rendimenti e consumi VRV'!K57/'Rendimenti e consumi VRV'!$K$27</f>
        <v>0.12117346938775508</v>
      </c>
      <c r="L35" s="222">
        <f>1-'Rendimenti e consumi VRV'!L57/'Rendimenti e consumi VRV'!$L$27</f>
        <v>0.32239155920281348</v>
      </c>
      <c r="M35" s="222">
        <f>1-'Rendimenti e consumi VRV'!M57/'Rendimenti e consumi VRV'!$M$27</f>
        <v>0.46212952799121831</v>
      </c>
      <c r="N35" s="222">
        <f>1-'Rendimenti e consumi VRV'!N57/'Rendimenti e consumi VRV'!$N$27</f>
        <v>0.52643419572553429</v>
      </c>
      <c r="O35" s="222">
        <f>1-'Rendimenti e consumi VRV'!O57/'Rendimenti e consumi VRV'!$O$27</f>
        <v>0.51649746192893398</v>
      </c>
      <c r="P35" s="290">
        <f>1-'Rendimenti e consumi VRV'!P57/'Rendimenti e consumi VRV'!$P$27</f>
        <v>0.51209677419354849</v>
      </c>
    </row>
    <row r="36" spans="1:18" x14ac:dyDescent="0.25">
      <c r="A36" s="232">
        <v>16</v>
      </c>
      <c r="B36" s="222">
        <v>0.5</v>
      </c>
      <c r="C36" s="222">
        <f>'1-Ore funzionamento'!$AF$12</f>
        <v>0.2</v>
      </c>
      <c r="D36" s="217">
        <f t="shared" si="4"/>
        <v>22.5</v>
      </c>
      <c r="E36" s="217"/>
      <c r="F36" s="222">
        <f>1-'Rendimenti e consumi VRV'!F58/'Rendimenti e consumi VRV'!$F$28</f>
        <v>0.59803921568627449</v>
      </c>
      <c r="G36" s="222">
        <f>1-'Rendimenti e consumi VRV'!G58/'Rendimenti e consumi VRV'!$G$28</f>
        <v>0.60427350427350424</v>
      </c>
      <c r="H36" s="222">
        <f>1-'Rendimenti e consumi VRV'!H58/'Rendimenti e consumi VRV'!$H$28</f>
        <v>0.61126760563380289</v>
      </c>
      <c r="I36" s="222">
        <f>1-'Rendimenti e consumi VRV'!I58/'Rendimenti e consumi VRV'!$I$28</f>
        <v>0.59276315789473677</v>
      </c>
      <c r="J36" s="217"/>
      <c r="K36" s="222">
        <f>1-'Rendimenti e consumi VRV'!K58/'Rendimenti e consumi VRV'!$K$28</f>
        <v>0.28230769230769226</v>
      </c>
      <c r="L36" s="222">
        <f>1-'Rendimenti e consumi VRV'!L58/'Rendimenti e consumi VRV'!$L$28</f>
        <v>0.43597122302158275</v>
      </c>
      <c r="M36" s="222">
        <f>1-'Rendimenti e consumi VRV'!M58/'Rendimenti e consumi VRV'!$M$28</f>
        <v>0.53931034482758622</v>
      </c>
      <c r="N36" s="222">
        <f>1-'Rendimenti e consumi VRV'!N58/'Rendimenti e consumi VRV'!$N$28</f>
        <v>0.52786885245901638</v>
      </c>
      <c r="O36" s="222">
        <f>1-'Rendimenti e consumi VRV'!O58/'Rendimenti e consumi VRV'!$O$28</f>
        <v>0.51574074074074072</v>
      </c>
      <c r="P36" s="290">
        <f>1-'Rendimenti e consumi VRV'!P58/'Rendimenti e consumi VRV'!$P$28</f>
        <v>0.51078431372549016</v>
      </c>
    </row>
    <row r="37" spans="1:18" x14ac:dyDescent="0.25">
      <c r="A37" s="232">
        <v>20</v>
      </c>
      <c r="B37" s="222">
        <v>0.5</v>
      </c>
      <c r="C37" s="222">
        <f>'1-Ore funzionamento'!$AF$12</f>
        <v>0.2</v>
      </c>
      <c r="D37" s="217">
        <f t="shared" si="4"/>
        <v>27.95</v>
      </c>
      <c r="E37" s="217"/>
      <c r="F37" s="222">
        <f>1-'Rendimenti e consumi VRV'!F59/'Rendimenti e consumi VRV'!$F$29</f>
        <v>0.60090909090909095</v>
      </c>
      <c r="G37" s="222">
        <f>1-'Rendimenti e consumi VRV'!G59/'Rendimenti e consumi VRV'!$G$29</f>
        <v>0.60319999999999996</v>
      </c>
      <c r="H37" s="222">
        <f>1-'Rendimenti e consumi VRV'!H59/'Rendimenti e consumi VRV'!$H$29</f>
        <v>0.61118421052631577</v>
      </c>
      <c r="I37" s="222">
        <f>1-'Rendimenti e consumi VRV'!I59/'Rendimenti e consumi VRV'!$I$29</f>
        <v>0.59325153374233131</v>
      </c>
      <c r="J37" s="217"/>
      <c r="K37" s="222">
        <f>1-'Rendimenti e consumi VRV'!K59/'Rendimenti e consumi VRV'!$K$29</f>
        <v>0.25352112676056338</v>
      </c>
      <c r="L37" s="222">
        <f>1-'Rendimenti e consumi VRV'!L59/'Rendimenti e consumi VRV'!$L$29</f>
        <v>0.40915032679738572</v>
      </c>
      <c r="M37" s="222">
        <f>1-'Rendimenti e consumi VRV'!M59/'Rendimenti e consumi VRV'!$M$29</f>
        <v>0.51366459627329197</v>
      </c>
      <c r="N37" s="222">
        <f>1-'Rendimenti e consumi VRV'!N59/'Rendimenti e consumi VRV'!$N$29</f>
        <v>0.52620689655172415</v>
      </c>
      <c r="O37" s="222">
        <f>1-'Rendimenti e consumi VRV'!O59/'Rendimenti e consumi VRV'!$O$29</f>
        <v>0.51755725190839685</v>
      </c>
      <c r="P37" s="290">
        <f>1-'Rendimenti e consumi VRV'!P59/'Rendimenti e consumi VRV'!$P$29</f>
        <v>0.51360000000000006</v>
      </c>
    </row>
    <row r="38" spans="1:18" ht="16.5" thickBot="1" x14ac:dyDescent="0.3">
      <c r="A38" s="235">
        <v>26</v>
      </c>
      <c r="B38" s="236">
        <v>0.5</v>
      </c>
      <c r="C38" s="236">
        <f>'1-Ore funzionamento'!$AF$12</f>
        <v>0.2</v>
      </c>
      <c r="D38" s="219">
        <f t="shared" si="4"/>
        <v>35.700000000000003</v>
      </c>
      <c r="E38" s="219"/>
      <c r="F38" s="236">
        <f>1-'Rendimenti e consumi VRV'!F60/'Rendimenti e consumi VRV'!$F$30</f>
        <v>0.59936305732484074</v>
      </c>
      <c r="G38" s="236">
        <f>1-'Rendimenti e consumi VRV'!G60/'Rendimenti e consumi VRV'!$G$30</f>
        <v>0.60391061452513961</v>
      </c>
      <c r="H38" s="236">
        <f>1-'Rendimenti e consumi VRV'!H60/'Rendimenti e consumi VRV'!$H$30</f>
        <v>0.61192660550458711</v>
      </c>
      <c r="I38" s="236">
        <f>1-'Rendimenti e consumi VRV'!I60/'Rendimenti e consumi VRV'!$I$30</f>
        <v>0.59227467811158796</v>
      </c>
      <c r="J38" s="219"/>
      <c r="K38" s="236">
        <f>1-'Rendimenti e consumi VRV'!K60/'Rendimenti e consumi VRV'!$K$30</f>
        <v>0.23195876288659789</v>
      </c>
      <c r="L38" s="236">
        <f>1-'Rendimenti e consumi VRV'!L60/'Rendimenti e consumi VRV'!$L$30</f>
        <v>0.39423076923076927</v>
      </c>
      <c r="M38" s="236">
        <f>1-'Rendimenti e consumi VRV'!M60/'Rendimenti e consumi VRV'!$M$30</f>
        <v>0.50228310502283102</v>
      </c>
      <c r="N38" s="236">
        <f>1-'Rendimenti e consumi VRV'!N60/'Rendimenti e consumi VRV'!$N$30</f>
        <v>0.5268656716417911</v>
      </c>
      <c r="O38" s="236">
        <f>1-'Rendimenti e consumi VRV'!O60/'Rendimenti e consumi VRV'!$O$30</f>
        <v>0.51823204419889501</v>
      </c>
      <c r="P38" s="291">
        <f>1-'Rendimenti e consumi VRV'!P60/'Rendimenti e consumi VRV'!$P$30</f>
        <v>0.51560693641618494</v>
      </c>
    </row>
    <row r="39" spans="1:18" x14ac:dyDescent="0.25">
      <c r="A39" s="229">
        <v>8</v>
      </c>
      <c r="B39" s="230">
        <v>0.4</v>
      </c>
      <c r="C39" s="230">
        <f>'1-Ore funzionamento'!$AF$13</f>
        <v>9.4736842105263161E-2</v>
      </c>
      <c r="D39" s="218">
        <f t="shared" ref="D39:D44" si="5">D3*0.4</f>
        <v>8.9599999999999991</v>
      </c>
      <c r="E39" s="218"/>
      <c r="F39" s="230">
        <f>1-'Rendimenti e consumi VRV'!F61/'Rendimenti e consumi VRV'!$F$25</f>
        <v>0.6386533665835411</v>
      </c>
      <c r="G39" s="230">
        <f>1-'Rendimenti e consumi VRV'!G61/'Rendimenti e consumi VRV'!$G$25</f>
        <v>0.64432314410480351</v>
      </c>
      <c r="H39" s="230">
        <f>1-'Rendimenti e consumi VRV'!H61/'Rendimenti e consumi VRV'!$H$25</f>
        <v>0.65035971223021583</v>
      </c>
      <c r="I39" s="230">
        <f>1-'Rendimenti e consumi VRV'!I61/'Rendimenti e consumi VRV'!$I$25</f>
        <v>0.63394957983193279</v>
      </c>
      <c r="J39" s="218"/>
      <c r="K39" s="230">
        <f>1-'Rendimenti e consumi VRV'!K61/'Rendimenti e consumi VRV'!$K$25</f>
        <v>0.6</v>
      </c>
      <c r="L39" s="230">
        <f>1-'Rendimenti e consumi VRV'!L61/'Rendimenti e consumi VRV'!$L$25</f>
        <v>0.6</v>
      </c>
      <c r="M39" s="230">
        <f>1-'Rendimenti e consumi VRV'!M61/'Rendimenti e consumi VRV'!$M$25</f>
        <v>0.6</v>
      </c>
      <c r="N39" s="230">
        <f>1-'Rendimenti e consumi VRV'!N61/'Rendimenti e consumi VRV'!$N$25</f>
        <v>0.6</v>
      </c>
      <c r="O39" s="230">
        <f>1-'Rendimenti e consumi VRV'!O61/'Rendimenti e consumi VRV'!$O$25</f>
        <v>0.6</v>
      </c>
      <c r="P39" s="289">
        <f>1-'Rendimenti e consumi VRV'!P61/'Rendimenti e consumi VRV'!$P$25</f>
        <v>0.60000000000000009</v>
      </c>
      <c r="Q39" s="153">
        <f>AVERAGE(F39:I44)</f>
        <v>0.64173463282184973</v>
      </c>
      <c r="R39" s="153">
        <f>AVERAGE(K39:P44)</f>
        <v>0.6000000000000002</v>
      </c>
    </row>
    <row r="40" spans="1:18" x14ac:dyDescent="0.25">
      <c r="A40" s="232">
        <v>10</v>
      </c>
      <c r="B40" s="222">
        <v>0.4</v>
      </c>
      <c r="C40" s="222">
        <f>'1-Ore funzionamento'!$AF$13</f>
        <v>9.4736842105263161E-2</v>
      </c>
      <c r="D40" s="217">
        <f t="shared" si="5"/>
        <v>11.200000000000001</v>
      </c>
      <c r="E40" s="217"/>
      <c r="F40" s="222">
        <f>1-'Rendimenti e consumi VRV'!F62/'Rendimenti e consumi VRV'!$F$26</f>
        <v>0.6399999999999999</v>
      </c>
      <c r="G40" s="222">
        <f>1-'Rendimenti e consumi VRV'!G62/'Rendimenti e consumi VRV'!$G$26</f>
        <v>0.64353518821603939</v>
      </c>
      <c r="H40" s="222">
        <f>1-'Rendimenti e consumi VRV'!H62/'Rendimenti e consumi VRV'!$H$26</f>
        <v>0.6506738544474393</v>
      </c>
      <c r="I40" s="222">
        <f>1-'Rendimenti e consumi VRV'!I62/'Rendimenti e consumi VRV'!$I$26</f>
        <v>0.63387909319899238</v>
      </c>
      <c r="J40" s="217"/>
      <c r="K40" s="222">
        <f>1-'Rendimenti e consumi VRV'!K62/'Rendimenti e consumi VRV'!$K$26</f>
        <v>0.6</v>
      </c>
      <c r="L40" s="222">
        <f>1-'Rendimenti e consumi VRV'!L62/'Rendimenti e consumi VRV'!$L$26</f>
        <v>0.6</v>
      </c>
      <c r="M40" s="222">
        <f>1-'Rendimenti e consumi VRV'!M62/'Rendimenti e consumi VRV'!$M$26</f>
        <v>0.6</v>
      </c>
      <c r="N40" s="222">
        <f>1-'Rendimenti e consumi VRV'!N62/'Rendimenti e consumi VRV'!$N$26</f>
        <v>0.6</v>
      </c>
      <c r="O40" s="222">
        <f>1-'Rendimenti e consumi VRV'!O62/'Rendimenti e consumi VRV'!$O$26</f>
        <v>0.59999999999999987</v>
      </c>
      <c r="P40" s="290">
        <f>1-'Rendimenti e consumi VRV'!P62/'Rendimenti e consumi VRV'!$P$26</f>
        <v>0.59999999999999987</v>
      </c>
    </row>
    <row r="41" spans="1:18" x14ac:dyDescent="0.25">
      <c r="A41" s="232">
        <v>12</v>
      </c>
      <c r="B41" s="222">
        <v>0.4</v>
      </c>
      <c r="C41" s="222">
        <f>'1-Ore funzionamento'!$AF$13</f>
        <v>9.4736842105263161E-2</v>
      </c>
      <c r="D41" s="217">
        <f t="shared" si="5"/>
        <v>13.4</v>
      </c>
      <c r="E41" s="217"/>
      <c r="F41" s="222">
        <f>1-'Rendimenti e consumi VRV'!F63/'Rendimenti e consumi VRV'!$F$27</f>
        <v>0.63896103896103895</v>
      </c>
      <c r="G41" s="222">
        <f>1-'Rendimenti e consumi VRV'!G63/'Rendimenti e consumi VRV'!$G$27</f>
        <v>0.64318181818181819</v>
      </c>
      <c r="H41" s="222">
        <f>1-'Rendimenti e consumi VRV'!H63/'Rendimenti e consumi VRV'!$H$27</f>
        <v>0.65010395010395006</v>
      </c>
      <c r="I41" s="222">
        <f>1-'Rendimenti e consumi VRV'!I63/'Rendimenti e consumi VRV'!$I$27</f>
        <v>0.63388349514563114</v>
      </c>
      <c r="J41" s="217"/>
      <c r="K41" s="222">
        <f>1-'Rendimenti e consumi VRV'!K63/'Rendimenti e consumi VRV'!$K$27</f>
        <v>0.6</v>
      </c>
      <c r="L41" s="222">
        <f>1-'Rendimenti e consumi VRV'!L63/'Rendimenti e consumi VRV'!$L$27</f>
        <v>0.6</v>
      </c>
      <c r="M41" s="222">
        <f>1-'Rendimenti e consumi VRV'!M63/'Rendimenti e consumi VRV'!$M$27</f>
        <v>0.6</v>
      </c>
      <c r="N41" s="222">
        <f>1-'Rendimenti e consumi VRV'!N63/'Rendimenti e consumi VRV'!$N$27</f>
        <v>0.6</v>
      </c>
      <c r="O41" s="222">
        <f>1-'Rendimenti e consumi VRV'!O63/'Rendimenti e consumi VRV'!$O$27</f>
        <v>0.6</v>
      </c>
      <c r="P41" s="290">
        <f>1-'Rendimenti e consumi VRV'!P63/'Rendimenti e consumi VRV'!$P$27</f>
        <v>0.6</v>
      </c>
    </row>
    <row r="42" spans="1:18" x14ac:dyDescent="0.25">
      <c r="A42" s="232">
        <v>16</v>
      </c>
      <c r="B42" s="222">
        <v>0.4</v>
      </c>
      <c r="C42" s="222">
        <f>'1-Ore funzionamento'!$AF$13</f>
        <v>9.4736842105263161E-2</v>
      </c>
      <c r="D42" s="217">
        <f t="shared" si="5"/>
        <v>18</v>
      </c>
      <c r="E42" s="217"/>
      <c r="F42" s="222">
        <f>1-'Rendimenti e consumi VRV'!F64/'Rendimenti e consumi VRV'!$F$28</f>
        <v>0.63823529411764701</v>
      </c>
      <c r="G42" s="222">
        <f>1-'Rendimenti e consumi VRV'!G64/'Rendimenti e consumi VRV'!$G$28</f>
        <v>0.64384615384615385</v>
      </c>
      <c r="H42" s="222">
        <f>1-'Rendimenti e consumi VRV'!H64/'Rendimenti e consumi VRV'!$H$28</f>
        <v>0.65014084507042247</v>
      </c>
      <c r="I42" s="222">
        <f>1-'Rendimenti e consumi VRV'!I64/'Rendimenti e consumi VRV'!$I$28</f>
        <v>0.63348684210526307</v>
      </c>
      <c r="J42" s="217"/>
      <c r="K42" s="222">
        <f>1-'Rendimenti e consumi VRV'!K64/'Rendimenti e consumi VRV'!$K$28</f>
        <v>0.6</v>
      </c>
      <c r="L42" s="222">
        <f>1-'Rendimenti e consumi VRV'!L64/'Rendimenti e consumi VRV'!$L$28</f>
        <v>0.6</v>
      </c>
      <c r="M42" s="222">
        <f>1-'Rendimenti e consumi VRV'!M64/'Rendimenti e consumi VRV'!$M$28</f>
        <v>0.6</v>
      </c>
      <c r="N42" s="222">
        <f>1-'Rendimenti e consumi VRV'!N64/'Rendimenti e consumi VRV'!$N$28</f>
        <v>0.6</v>
      </c>
      <c r="O42" s="222">
        <f>1-'Rendimenti e consumi VRV'!O64/'Rendimenti e consumi VRV'!$O$28</f>
        <v>0.6</v>
      </c>
      <c r="P42" s="290">
        <f>1-'Rendimenti e consumi VRV'!P64/'Rendimenti e consumi VRV'!$P$28</f>
        <v>0.6</v>
      </c>
    </row>
    <row r="43" spans="1:18" x14ac:dyDescent="0.25">
      <c r="A43" s="232">
        <v>20</v>
      </c>
      <c r="B43" s="222">
        <v>0.4</v>
      </c>
      <c r="C43" s="222">
        <f>'1-Ore funzionamento'!$AF$13</f>
        <v>9.4736842105263161E-2</v>
      </c>
      <c r="D43" s="217">
        <f t="shared" si="5"/>
        <v>22.36</v>
      </c>
      <c r="E43" s="217"/>
      <c r="F43" s="222">
        <f>1-'Rendimenti e consumi VRV'!F65/'Rendimenti e consumi VRV'!$F$29</f>
        <v>0.64081818181818184</v>
      </c>
      <c r="G43" s="222">
        <f>1-'Rendimenti e consumi VRV'!G65/'Rendimenti e consumi VRV'!$G$29</f>
        <v>0.6428799999999999</v>
      </c>
      <c r="H43" s="222">
        <f>1-'Rendimenti e consumi VRV'!H65/'Rendimenti e consumi VRV'!$H$29</f>
        <v>0.65006578947368421</v>
      </c>
      <c r="I43" s="222">
        <f>1-'Rendimenti e consumi VRV'!I65/'Rendimenti e consumi VRV'!$I$29</f>
        <v>0.63392638036809812</v>
      </c>
      <c r="J43" s="217"/>
      <c r="K43" s="222">
        <f>1-'Rendimenti e consumi VRV'!K65/'Rendimenti e consumi VRV'!$K$29</f>
        <v>0.6</v>
      </c>
      <c r="L43" s="222">
        <f>1-'Rendimenti e consumi VRV'!L65/'Rendimenti e consumi VRV'!$L$29</f>
        <v>0.6</v>
      </c>
      <c r="M43" s="222">
        <f>1-'Rendimenti e consumi VRV'!M65/'Rendimenti e consumi VRV'!$M$29</f>
        <v>0.6</v>
      </c>
      <c r="N43" s="222">
        <f>1-'Rendimenti e consumi VRV'!N65/'Rendimenti e consumi VRV'!$N$29</f>
        <v>0.6</v>
      </c>
      <c r="O43" s="222">
        <f>1-'Rendimenti e consumi VRV'!O65/'Rendimenti e consumi VRV'!$O$29</f>
        <v>0.6</v>
      </c>
      <c r="P43" s="290">
        <f>1-'Rendimenti e consumi VRV'!P65/'Rendimenti e consumi VRV'!$P$29</f>
        <v>0.6</v>
      </c>
    </row>
    <row r="44" spans="1:18" ht="16.5" thickBot="1" x14ac:dyDescent="0.3">
      <c r="A44" s="235">
        <v>26</v>
      </c>
      <c r="B44" s="236">
        <v>0.4</v>
      </c>
      <c r="C44" s="236">
        <f>'1-Ore funzionamento'!$AF$13</f>
        <v>9.4736842105263161E-2</v>
      </c>
      <c r="D44" s="219">
        <f t="shared" si="5"/>
        <v>28.560000000000002</v>
      </c>
      <c r="E44" s="219"/>
      <c r="F44" s="236">
        <f>1-'Rendimenti e consumi VRV'!F66/'Rendimenti e consumi VRV'!$F$30</f>
        <v>0.63942675159235662</v>
      </c>
      <c r="G44" s="236">
        <f>1-'Rendimenti e consumi VRV'!G66/'Rendimenti e consumi VRV'!$G$30</f>
        <v>0.64351955307262565</v>
      </c>
      <c r="H44" s="236">
        <f>1-'Rendimenti e consumi VRV'!H66/'Rendimenti e consumi VRV'!$H$30</f>
        <v>0.6507339449541284</v>
      </c>
      <c r="I44" s="236">
        <f>1-'Rendimenti e consumi VRV'!I66/'Rendimenti e consumi VRV'!$I$30</f>
        <v>0.63304721030042921</v>
      </c>
      <c r="J44" s="219"/>
      <c r="K44" s="236">
        <f>1-'Rendimenti e consumi VRV'!K66/'Rendimenti e consumi VRV'!$K$30</f>
        <v>0.6</v>
      </c>
      <c r="L44" s="236">
        <f>1-'Rendimenti e consumi VRV'!L66/'Rendimenti e consumi VRV'!$L$30</f>
        <v>0.6</v>
      </c>
      <c r="M44" s="236">
        <f>1-'Rendimenti e consumi VRV'!M66/'Rendimenti e consumi VRV'!$M$30</f>
        <v>0.6</v>
      </c>
      <c r="N44" s="236">
        <f>1-'Rendimenti e consumi VRV'!N66/'Rendimenti e consumi VRV'!$N$30</f>
        <v>0.6</v>
      </c>
      <c r="O44" s="236">
        <f>1-'Rendimenti e consumi VRV'!O66/'Rendimenti e consumi VRV'!$O$30</f>
        <v>0.6</v>
      </c>
      <c r="P44" s="291">
        <f>1-'Rendimenti e consumi VRV'!P66/'Rendimenti e consumi VRV'!$P$30</f>
        <v>0.6</v>
      </c>
    </row>
    <row r="45" spans="1:18" x14ac:dyDescent="0.25">
      <c r="A45" s="229">
        <v>8</v>
      </c>
      <c r="B45" s="230">
        <v>0.3</v>
      </c>
      <c r="C45" s="230">
        <f>'1-Ore funzionamento'!$AF$14</f>
        <v>4.2105263157894743E-2</v>
      </c>
      <c r="D45" s="218">
        <f t="shared" ref="D45:D50" si="6">D3*0.3</f>
        <v>6.72</v>
      </c>
      <c r="E45" s="218"/>
      <c r="F45" s="230">
        <f>1-'Rendimenti e consumi VRV'!F67/'Rendimenti e consumi VRV'!$F$25</f>
        <v>0.67478802992518694</v>
      </c>
      <c r="G45" s="230">
        <f>1-'Rendimenti e consumi VRV'!G67/'Rendimenti e consumi VRV'!$G$25</f>
        <v>0.67989082969432313</v>
      </c>
      <c r="H45" s="230">
        <f>1-'Rendimenti e consumi VRV'!H67/'Rendimenti e consumi VRV'!$H$25</f>
        <v>0.68532374100719418</v>
      </c>
      <c r="I45" s="230">
        <f>1-'Rendimenti e consumi VRV'!I67/'Rendimenti e consumi VRV'!$I$25</f>
        <v>0.67055462184873948</v>
      </c>
      <c r="J45" s="218"/>
      <c r="K45" s="230">
        <f>1-'Rendimenti e consumi VRV'!K67/'Rendimenti e consumi VRV'!$K$25</f>
        <v>0.7</v>
      </c>
      <c r="L45" s="230">
        <f>1-'Rendimenti e consumi VRV'!L67/'Rendimenti e consumi VRV'!$L$25</f>
        <v>0.7</v>
      </c>
      <c r="M45" s="230">
        <f>1-'Rendimenti e consumi VRV'!M67/'Rendimenti e consumi VRV'!$M$25</f>
        <v>0.7</v>
      </c>
      <c r="N45" s="230">
        <f>1-'Rendimenti e consumi VRV'!N67/'Rendimenti e consumi VRV'!$N$25</f>
        <v>0.7</v>
      </c>
      <c r="O45" s="230">
        <f>1-'Rendimenti e consumi VRV'!O67/'Rendimenti e consumi VRV'!$O$25</f>
        <v>0.7</v>
      </c>
      <c r="P45" s="289">
        <f>1-'Rendimenti e consumi VRV'!P67/'Rendimenti e consumi VRV'!$P$25</f>
        <v>0.7</v>
      </c>
      <c r="Q45" s="153">
        <f>AVERAGE(F45:I50)</f>
        <v>0.67756116953966472</v>
      </c>
      <c r="R45" s="153">
        <f>AVERAGE(K45:P50)</f>
        <v>0.69999999999999962</v>
      </c>
    </row>
    <row r="46" spans="1:18" x14ac:dyDescent="0.25">
      <c r="A46" s="232">
        <v>10</v>
      </c>
      <c r="B46" s="222">
        <v>0.3</v>
      </c>
      <c r="C46" s="222">
        <f>'1-Ore funzionamento'!$AF$14</f>
        <v>4.2105263157894743E-2</v>
      </c>
      <c r="D46" s="217">
        <f t="shared" si="6"/>
        <v>8.4</v>
      </c>
      <c r="E46" s="217"/>
      <c r="F46" s="222">
        <f>1-'Rendimenti e consumi VRV'!F68/'Rendimenti e consumi VRV'!$F$26</f>
        <v>0.67599999999999993</v>
      </c>
      <c r="G46" s="222">
        <f>1-'Rendimenti e consumi VRV'!G68/'Rendimenti e consumi VRV'!$G$26</f>
        <v>0.67918166939443536</v>
      </c>
      <c r="H46" s="222">
        <f>1-'Rendimenti e consumi VRV'!H68/'Rendimenti e consumi VRV'!$H$26</f>
        <v>0.6856064690026954</v>
      </c>
      <c r="I46" s="222">
        <f>1-'Rendimenti e consumi VRV'!I68/'Rendimenti e consumi VRV'!$I$26</f>
        <v>0.67049118387909323</v>
      </c>
      <c r="J46" s="217"/>
      <c r="K46" s="222">
        <f>1-'Rendimenti e consumi VRV'!K68/'Rendimenti e consumi VRV'!$K$26</f>
        <v>0.7</v>
      </c>
      <c r="L46" s="222">
        <f>1-'Rendimenti e consumi VRV'!L68/'Rendimenti e consumi VRV'!$L$26</f>
        <v>0.7</v>
      </c>
      <c r="M46" s="222">
        <f>1-'Rendimenti e consumi VRV'!M68/'Rendimenti e consumi VRV'!$M$26</f>
        <v>0.7</v>
      </c>
      <c r="N46" s="222">
        <f>1-'Rendimenti e consumi VRV'!N68/'Rendimenti e consumi VRV'!$N$26</f>
        <v>0.7</v>
      </c>
      <c r="O46" s="222">
        <f>1-'Rendimenti e consumi VRV'!O68/'Rendimenti e consumi VRV'!$O$26</f>
        <v>0.7</v>
      </c>
      <c r="P46" s="290">
        <f>1-'Rendimenti e consumi VRV'!P68/'Rendimenti e consumi VRV'!$P$26</f>
        <v>0.7</v>
      </c>
    </row>
    <row r="47" spans="1:18" x14ac:dyDescent="0.25">
      <c r="A47" s="232">
        <v>12</v>
      </c>
      <c r="B47" s="222">
        <v>0.3</v>
      </c>
      <c r="C47" s="222">
        <f>'1-Ore funzionamento'!$AF$14</f>
        <v>4.2105263157894743E-2</v>
      </c>
      <c r="D47" s="217">
        <f t="shared" si="6"/>
        <v>10.049999999999999</v>
      </c>
      <c r="E47" s="217"/>
      <c r="F47" s="222">
        <f>1-'Rendimenti e consumi VRV'!F69/'Rendimenti e consumi VRV'!$F$27</f>
        <v>0.67506493506493515</v>
      </c>
      <c r="G47" s="222">
        <f>1-'Rendimenti e consumi VRV'!G69/'Rendimenti e consumi VRV'!$G$27</f>
        <v>0.67886363636363634</v>
      </c>
      <c r="H47" s="222">
        <f>1-'Rendimenti e consumi VRV'!H69/'Rendimenti e consumi VRV'!$H$27</f>
        <v>0.68509355509355507</v>
      </c>
      <c r="I47" s="222">
        <f>1-'Rendimenti e consumi VRV'!I69/'Rendimenti e consumi VRV'!$I$27</f>
        <v>0.67049514563106793</v>
      </c>
      <c r="J47" s="217"/>
      <c r="K47" s="222">
        <f>1-'Rendimenti e consumi VRV'!K69/'Rendimenti e consumi VRV'!$K$27</f>
        <v>0.7</v>
      </c>
      <c r="L47" s="222">
        <f>1-'Rendimenti e consumi VRV'!L69/'Rendimenti e consumi VRV'!$L$27</f>
        <v>0.7</v>
      </c>
      <c r="M47" s="222">
        <f>1-'Rendimenti e consumi VRV'!M69/'Rendimenti e consumi VRV'!$M$27</f>
        <v>0.7</v>
      </c>
      <c r="N47" s="222">
        <f>1-'Rendimenti e consumi VRV'!N69/'Rendimenti e consumi VRV'!$N$27</f>
        <v>0.7</v>
      </c>
      <c r="O47" s="222">
        <f>1-'Rendimenti e consumi VRV'!O69/'Rendimenti e consumi VRV'!$O$27</f>
        <v>0.7</v>
      </c>
      <c r="P47" s="290">
        <f>1-'Rendimenti e consumi VRV'!P69/'Rendimenti e consumi VRV'!$P$27</f>
        <v>0.7</v>
      </c>
    </row>
    <row r="48" spans="1:18" x14ac:dyDescent="0.25">
      <c r="A48" s="232">
        <v>16</v>
      </c>
      <c r="B48" s="222">
        <v>0.3</v>
      </c>
      <c r="C48" s="222">
        <f>'1-Ore funzionamento'!$AF$14</f>
        <v>4.2105263157894743E-2</v>
      </c>
      <c r="D48" s="217">
        <f t="shared" si="6"/>
        <v>13.5</v>
      </c>
      <c r="E48" s="217"/>
      <c r="F48" s="222">
        <f>1-'Rendimenti e consumi VRV'!F70/'Rendimenti e consumi VRV'!$F$28</f>
        <v>0.67441176470588238</v>
      </c>
      <c r="G48" s="222">
        <f>1-'Rendimenti e consumi VRV'!G70/'Rendimenti e consumi VRV'!$G$28</f>
        <v>0.67946153846153845</v>
      </c>
      <c r="H48" s="222">
        <f>1-'Rendimenti e consumi VRV'!H70/'Rendimenti e consumi VRV'!$H$28</f>
        <v>0.68512676056338029</v>
      </c>
      <c r="I48" s="222">
        <f>1-'Rendimenti e consumi VRV'!I70/'Rendimenti e consumi VRV'!$I$28</f>
        <v>0.67013815789473674</v>
      </c>
      <c r="J48" s="217"/>
      <c r="K48" s="222">
        <f>1-'Rendimenti e consumi VRV'!K70/'Rendimenti e consumi VRV'!$K$28</f>
        <v>0.7</v>
      </c>
      <c r="L48" s="222">
        <f>1-'Rendimenti e consumi VRV'!L70/'Rendimenti e consumi VRV'!$L$28</f>
        <v>0.7</v>
      </c>
      <c r="M48" s="222">
        <f>1-'Rendimenti e consumi VRV'!M70/'Rendimenti e consumi VRV'!$M$28</f>
        <v>0.7</v>
      </c>
      <c r="N48" s="222">
        <f>1-'Rendimenti e consumi VRV'!N70/'Rendimenti e consumi VRV'!$N$28</f>
        <v>0.7</v>
      </c>
      <c r="O48" s="222">
        <f>1-'Rendimenti e consumi VRV'!O70/'Rendimenti e consumi VRV'!$O$28</f>
        <v>0.7</v>
      </c>
      <c r="P48" s="290">
        <f>1-'Rendimenti e consumi VRV'!P70/'Rendimenti e consumi VRV'!$P$28</f>
        <v>0.7</v>
      </c>
    </row>
    <row r="49" spans="1:16" x14ac:dyDescent="0.25">
      <c r="A49" s="232">
        <v>20</v>
      </c>
      <c r="B49" s="222">
        <v>0.3</v>
      </c>
      <c r="C49" s="222">
        <f>'1-Ore funzionamento'!$AF$14</f>
        <v>4.2105263157894743E-2</v>
      </c>
      <c r="D49" s="217">
        <f t="shared" si="6"/>
        <v>16.77</v>
      </c>
      <c r="E49" s="217"/>
      <c r="F49" s="222">
        <f>1-'Rendimenti e consumi VRV'!F71/'Rendimenti e consumi VRV'!$F$29</f>
        <v>0.67673636363636369</v>
      </c>
      <c r="G49" s="222">
        <f>1-'Rendimenti e consumi VRV'!G71/'Rendimenti e consumi VRV'!$G$29</f>
        <v>0.67859199999999986</v>
      </c>
      <c r="H49" s="222">
        <f>1-'Rendimenti e consumi VRV'!H71/'Rendimenti e consumi VRV'!$H$29</f>
        <v>0.6850592105263158</v>
      </c>
      <c r="I49" s="222">
        <f>1-'Rendimenti e consumi VRV'!I71/'Rendimenti e consumi VRV'!$I$29</f>
        <v>0.67053374233128837</v>
      </c>
      <c r="J49" s="217"/>
      <c r="K49" s="222">
        <f>1-'Rendimenti e consumi VRV'!K71/'Rendimenti e consumi VRV'!$K$29</f>
        <v>0.7</v>
      </c>
      <c r="L49" s="222">
        <f>1-'Rendimenti e consumi VRV'!L71/'Rendimenti e consumi VRV'!$L$29</f>
        <v>0.7</v>
      </c>
      <c r="M49" s="222">
        <f>1-'Rendimenti e consumi VRV'!M71/'Rendimenti e consumi VRV'!$M$29</f>
        <v>0.7</v>
      </c>
      <c r="N49" s="222">
        <f>1-'Rendimenti e consumi VRV'!N71/'Rendimenti e consumi VRV'!$N$29</f>
        <v>0.7</v>
      </c>
      <c r="O49" s="222">
        <f>1-'Rendimenti e consumi VRV'!O71/'Rendimenti e consumi VRV'!$O$29</f>
        <v>0.7</v>
      </c>
      <c r="P49" s="290">
        <f>1-'Rendimenti e consumi VRV'!P71/'Rendimenti e consumi VRV'!$P$29</f>
        <v>0.7</v>
      </c>
    </row>
    <row r="50" spans="1:16" ht="16.5" thickBot="1" x14ac:dyDescent="0.3">
      <c r="A50" s="235">
        <v>26</v>
      </c>
      <c r="B50" s="236">
        <v>0.3</v>
      </c>
      <c r="C50" s="236">
        <f>'1-Ore funzionamento'!$AF$14</f>
        <v>4.2105263157894743E-2</v>
      </c>
      <c r="D50" s="219">
        <f t="shared" si="6"/>
        <v>21.42</v>
      </c>
      <c r="E50" s="219"/>
      <c r="F50" s="236">
        <f>1-'Rendimenti e consumi VRV'!F72/'Rendimenti e consumi VRV'!$F$30</f>
        <v>0.67548407643312103</v>
      </c>
      <c r="G50" s="236">
        <f>1-'Rendimenti e consumi VRV'!G72/'Rendimenti e consumi VRV'!$G$30</f>
        <v>0.67916759776536306</v>
      </c>
      <c r="H50" s="236">
        <f>1-'Rendimenti e consumi VRV'!H72/'Rendimenti e consumi VRV'!$H$30</f>
        <v>0.68566055045871566</v>
      </c>
      <c r="I50" s="236">
        <f>1-'Rendimenti e consumi VRV'!I72/'Rendimenti e consumi VRV'!$I$30</f>
        <v>0.66974248927038627</v>
      </c>
      <c r="J50" s="219"/>
      <c r="K50" s="236">
        <f>1-'Rendimenti e consumi VRV'!K72/'Rendimenti e consumi VRV'!$K$30</f>
        <v>0.7</v>
      </c>
      <c r="L50" s="236">
        <f>1-'Rendimenti e consumi VRV'!L72/'Rendimenti e consumi VRV'!$L$30</f>
        <v>0.7</v>
      </c>
      <c r="M50" s="236">
        <f>1-'Rendimenti e consumi VRV'!M72/'Rendimenti e consumi VRV'!$M$30</f>
        <v>0.7</v>
      </c>
      <c r="N50" s="236">
        <f>1-'Rendimenti e consumi VRV'!N72/'Rendimenti e consumi VRV'!$N$30</f>
        <v>0.7</v>
      </c>
      <c r="O50" s="236">
        <f>1-'Rendimenti e consumi VRV'!O72/'Rendimenti e consumi VRV'!$O$30</f>
        <v>0.7</v>
      </c>
      <c r="P50" s="291">
        <f>1-'Rendimenti e consumi VRV'!P72/'Rendimenti e consumi VRV'!$P$30</f>
        <v>0.7</v>
      </c>
    </row>
    <row r="52" spans="1:16" x14ac:dyDescent="0.25">
      <c r="A52" t="s">
        <v>300</v>
      </c>
    </row>
    <row r="53" spans="1:16" x14ac:dyDescent="0.25">
      <c r="B53" t="s">
        <v>69</v>
      </c>
      <c r="C53" t="s">
        <v>68</v>
      </c>
    </row>
    <row r="54" spans="1:16" x14ac:dyDescent="0.25">
      <c r="A54" s="15">
        <v>1</v>
      </c>
      <c r="B54" s="153">
        <f>1-Q3</f>
        <v>1</v>
      </c>
      <c r="C54" s="153">
        <f>1-R3</f>
        <v>1</v>
      </c>
    </row>
    <row r="55" spans="1:16" x14ac:dyDescent="0.25">
      <c r="A55" s="15">
        <v>0.9</v>
      </c>
      <c r="B55" s="153">
        <f>1-Q9</f>
        <v>0.86826584138626206</v>
      </c>
      <c r="C55" s="153">
        <f>1-R9</f>
        <v>0.94230504749819155</v>
      </c>
    </row>
    <row r="56" spans="1:16" x14ac:dyDescent="0.25">
      <c r="A56" s="15">
        <v>0.8</v>
      </c>
      <c r="B56" s="153">
        <f>1-Q15</f>
        <v>0.73300636363203653</v>
      </c>
      <c r="C56" s="153">
        <f>1-R15</f>
        <v>0.86552791739268775</v>
      </c>
    </row>
    <row r="57" spans="1:16" x14ac:dyDescent="0.25">
      <c r="A57" s="15">
        <v>0.7</v>
      </c>
      <c r="B57" s="153">
        <f>1-Q21</f>
        <v>0.60972393424665849</v>
      </c>
      <c r="C57" s="153">
        <f>1-R21</f>
        <v>0.76651335275489929</v>
      </c>
    </row>
    <row r="58" spans="1:16" x14ac:dyDescent="0.25">
      <c r="A58" s="15">
        <v>0.6</v>
      </c>
      <c r="B58" s="153">
        <f>1-Q27</f>
        <v>0.49785065211041801</v>
      </c>
      <c r="C58" s="153">
        <f>1-R27</f>
        <v>0.65059968908465582</v>
      </c>
    </row>
    <row r="59" spans="1:16" x14ac:dyDescent="0.25">
      <c r="A59" s="15">
        <v>0.5</v>
      </c>
      <c r="B59" s="153">
        <f>1-Q33</f>
        <v>0.39807263019794481</v>
      </c>
      <c r="C59" s="153">
        <f>1-R33</f>
        <v>0.53752871279133452</v>
      </c>
    </row>
    <row r="60" spans="1:16" x14ac:dyDescent="0.25">
      <c r="A60" s="15">
        <v>0.4</v>
      </c>
      <c r="B60" s="153">
        <f>1-Q39</f>
        <v>0.35826536717815027</v>
      </c>
      <c r="C60" s="153">
        <f>1-R39</f>
        <v>0.3999999999999998</v>
      </c>
    </row>
    <row r="61" spans="1:16" x14ac:dyDescent="0.25">
      <c r="A61" s="15">
        <v>0.3</v>
      </c>
      <c r="B61" s="153">
        <f>1-Q45</f>
        <v>0.32243883046033528</v>
      </c>
      <c r="C61" s="153">
        <f>1-R45</f>
        <v>0.30000000000000038</v>
      </c>
    </row>
  </sheetData>
  <mergeCells count="2">
    <mergeCell ref="F1:I1"/>
    <mergeCell ref="K1:P1"/>
  </mergeCells>
  <phoneticPr fontId="7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"/>
  <sheetViews>
    <sheetView workbookViewId="0"/>
  </sheetViews>
  <sheetFormatPr defaultRowHeight="15.75" x14ac:dyDescent="0.25"/>
  <cols>
    <col min="1" max="1" width="17.75" style="538" bestFit="1" customWidth="1"/>
    <col min="2" max="2" width="44.875" style="538" bestFit="1" customWidth="1"/>
    <col min="3" max="3" width="6.875" style="538" bestFit="1" customWidth="1"/>
    <col min="4" max="6" width="11" style="538" bestFit="1" customWidth="1"/>
    <col min="7" max="7" width="4.625" style="538" bestFit="1" customWidth="1"/>
    <col min="8" max="8" width="9" style="538"/>
    <col min="9" max="9" width="11" style="538" bestFit="1" customWidth="1"/>
    <col min="10" max="10" width="6.875" style="538" bestFit="1" customWidth="1"/>
    <col min="11" max="12" width="5.25" style="538" bestFit="1" customWidth="1"/>
    <col min="13" max="13" width="9" style="538"/>
    <col min="14" max="14" width="4.625" style="538" bestFit="1" customWidth="1"/>
    <col min="15" max="15" width="5.875" style="538" bestFit="1" customWidth="1"/>
    <col min="16" max="16" width="4.875" style="538" bestFit="1" customWidth="1"/>
    <col min="17" max="17" width="11" style="538" bestFit="1" customWidth="1"/>
    <col min="18" max="20" width="7.75" style="538" bestFit="1" customWidth="1"/>
    <col min="21" max="21" width="4.625" style="538" bestFit="1" customWidth="1"/>
    <col min="22" max="23" width="9" style="538"/>
    <col min="24" max="24" width="4.875" style="538" bestFit="1" customWidth="1"/>
    <col min="25" max="25" width="5.625" style="538" bestFit="1" customWidth="1"/>
    <col min="26" max="26" width="5.875" style="538" bestFit="1" customWidth="1"/>
    <col min="27" max="30" width="9" style="538"/>
  </cols>
  <sheetData>
    <row r="1" spans="1:34" ht="25.5" x14ac:dyDescent="0.35">
      <c r="A1" s="535" t="s">
        <v>434</v>
      </c>
    </row>
    <row r="3" spans="1:34" s="368" customFormat="1" ht="15" x14ac:dyDescent="0.2">
      <c r="A3" s="368" t="s">
        <v>435</v>
      </c>
      <c r="B3" s="540" t="s">
        <v>34</v>
      </c>
      <c r="C3" s="541" t="s">
        <v>37</v>
      </c>
      <c r="D3" s="541"/>
      <c r="E3" s="541" t="s">
        <v>35</v>
      </c>
      <c r="F3" s="541"/>
      <c r="G3" s="541" t="s">
        <v>36</v>
      </c>
      <c r="H3" s="365"/>
      <c r="I3" s="540" t="s">
        <v>34</v>
      </c>
      <c r="J3" s="541" t="s">
        <v>37</v>
      </c>
      <c r="K3" s="541"/>
      <c r="L3" s="541" t="s">
        <v>35</v>
      </c>
      <c r="M3" s="541"/>
      <c r="N3" s="541" t="s">
        <v>36</v>
      </c>
      <c r="O3" s="365"/>
      <c r="P3" s="540" t="s">
        <v>34</v>
      </c>
      <c r="Q3" s="541" t="s">
        <v>37</v>
      </c>
      <c r="R3" s="541"/>
      <c r="S3" s="541" t="s">
        <v>35</v>
      </c>
      <c r="T3" s="541"/>
      <c r="U3" s="541" t="s">
        <v>36</v>
      </c>
      <c r="V3" s="365"/>
      <c r="W3" s="366"/>
      <c r="X3" s="540" t="s">
        <v>38</v>
      </c>
      <c r="Y3" s="541" t="s">
        <v>39</v>
      </c>
      <c r="Z3" s="541" t="s">
        <v>78</v>
      </c>
      <c r="AA3" s="542"/>
      <c r="AB3" s="542"/>
      <c r="AC3" s="542"/>
      <c r="AG3" s="369"/>
      <c r="AH3" s="369"/>
    </row>
    <row r="4" spans="1:34" s="368" customFormat="1" ht="15" x14ac:dyDescent="0.2">
      <c r="A4" s="368" t="s">
        <v>436</v>
      </c>
      <c r="B4" s="540">
        <v>1</v>
      </c>
      <c r="C4" s="543" t="e">
        <f>IF(#REF!=0,FALSE,TRUE)</f>
        <v>#REF!</v>
      </c>
      <c r="D4" s="541"/>
      <c r="E4" s="543" t="e">
        <f>IF(#REF!=0,FALSE,TRUE)</f>
        <v>#REF!</v>
      </c>
      <c r="F4" s="541"/>
      <c r="G4" s="543" t="e">
        <f>IF(#REF!=0,FALSE,TRUE)</f>
        <v>#REF!</v>
      </c>
      <c r="H4" s="365"/>
      <c r="I4" s="540">
        <v>1</v>
      </c>
      <c r="J4" s="543" t="e">
        <f>IF(#REF!=0,FALSE,TRUE)</f>
        <v>#REF!</v>
      </c>
      <c r="K4" s="541"/>
      <c r="L4" s="543" t="e">
        <f>IF(#REF!=0,FALSE,TRUE)</f>
        <v>#REF!</v>
      </c>
      <c r="M4" s="541"/>
      <c r="N4" s="543" t="e">
        <f>IF(#REF!=0,FALSE,TRUE)</f>
        <v>#REF!</v>
      </c>
      <c r="O4" s="365"/>
      <c r="P4" s="540">
        <v>1</v>
      </c>
      <c r="Q4" s="543" t="e">
        <f>IF(#REF!=0,FALSE,TRUE)</f>
        <v>#REF!</v>
      </c>
      <c r="R4" s="541"/>
      <c r="S4" s="543" t="e">
        <f>IF(#REF!=0,FALSE,TRUE)</f>
        <v>#REF!</v>
      </c>
      <c r="T4" s="541"/>
      <c r="U4" s="543" t="e">
        <f>IF(#REF!=0,FALSE,TRUE)</f>
        <v>#REF!</v>
      </c>
      <c r="V4" s="365"/>
      <c r="W4" s="366"/>
      <c r="X4" s="540">
        <v>1</v>
      </c>
      <c r="Y4" s="544" t="e">
        <f>IF(#REF!=0,FALSE,TRUE)</f>
        <v>#REF!</v>
      </c>
      <c r="Z4" s="544" t="e">
        <f>IF(#REF!=0,FALSE,TRUE)</f>
        <v>#REF!</v>
      </c>
      <c r="AA4" s="545"/>
      <c r="AB4" s="542"/>
    </row>
    <row r="5" spans="1:34" s="368" customFormat="1" ht="15" x14ac:dyDescent="0.2">
      <c r="A5" s="368" t="s">
        <v>437</v>
      </c>
      <c r="B5" s="540">
        <v>2</v>
      </c>
      <c r="C5" s="543" t="e">
        <f>IF(#REF!=0,FALSE,TRUE)</f>
        <v>#REF!</v>
      </c>
      <c r="D5" s="541"/>
      <c r="E5" s="543" t="e">
        <f>IF(#REF!=0,FALSE,TRUE)</f>
        <v>#REF!</v>
      </c>
      <c r="F5" s="541"/>
      <c r="G5" s="543" t="e">
        <f>IF(#REF!=0,FALSE,TRUE)</f>
        <v>#REF!</v>
      </c>
      <c r="H5" s="365"/>
      <c r="I5" s="540">
        <v>2</v>
      </c>
      <c r="J5" s="543" t="e">
        <f>IF(#REF!=0,FALSE,TRUE)</f>
        <v>#REF!</v>
      </c>
      <c r="K5" s="541"/>
      <c r="L5" s="543" t="e">
        <f>IF(#REF!=0,FALSE,TRUE)</f>
        <v>#REF!</v>
      </c>
      <c r="M5" s="541"/>
      <c r="N5" s="543" t="e">
        <f>IF(#REF!=0,FALSE,TRUE)</f>
        <v>#REF!</v>
      </c>
      <c r="O5" s="365"/>
      <c r="P5" s="540">
        <v>2</v>
      </c>
      <c r="Q5" s="543" t="e">
        <f>IF(#REF!=0,FALSE,TRUE)</f>
        <v>#REF!</v>
      </c>
      <c r="R5" s="541"/>
      <c r="S5" s="543" t="e">
        <f>IF(#REF!=0,FALSE,TRUE)</f>
        <v>#REF!</v>
      </c>
      <c r="T5" s="541"/>
      <c r="U5" s="543" t="e">
        <f>IF(#REF!=0,FALSE,TRUE)</f>
        <v>#REF!</v>
      </c>
      <c r="V5" s="365"/>
      <c r="W5" s="366"/>
      <c r="X5" s="540">
        <v>2</v>
      </c>
      <c r="Y5" s="544" t="e">
        <f>IF(#REF!=0,FALSE,TRUE)</f>
        <v>#REF!</v>
      </c>
      <c r="Z5" s="544" t="e">
        <f>IF(#REF!=0,FALSE,TRUE)</f>
        <v>#REF!</v>
      </c>
      <c r="AA5" s="545"/>
      <c r="AB5" s="542"/>
    </row>
    <row r="6" spans="1:34" s="368" customFormat="1" ht="15" x14ac:dyDescent="0.2">
      <c r="A6" s="368" t="s">
        <v>438</v>
      </c>
      <c r="B6" s="540">
        <v>3</v>
      </c>
      <c r="C6" s="543" t="e">
        <f>IF(#REF!=0,FALSE,TRUE)</f>
        <v>#REF!</v>
      </c>
      <c r="D6" s="541"/>
      <c r="E6" s="543" t="e">
        <f>IF(#REF!=0,FALSE,TRUE)</f>
        <v>#REF!</v>
      </c>
      <c r="F6" s="541"/>
      <c r="G6" s="543" t="e">
        <f>IF(#REF!=0,FALSE,TRUE)</f>
        <v>#REF!</v>
      </c>
      <c r="H6" s="365"/>
      <c r="I6" s="540">
        <v>3</v>
      </c>
      <c r="J6" s="543" t="e">
        <f>IF(#REF!=0,FALSE,TRUE)</f>
        <v>#REF!</v>
      </c>
      <c r="K6" s="541"/>
      <c r="L6" s="543" t="e">
        <f>IF(#REF!=0,FALSE,TRUE)</f>
        <v>#REF!</v>
      </c>
      <c r="M6" s="541"/>
      <c r="N6" s="543" t="e">
        <f>IF(#REF!=0,FALSE,TRUE)</f>
        <v>#REF!</v>
      </c>
      <c r="O6" s="365"/>
      <c r="P6" s="540">
        <v>3</v>
      </c>
      <c r="Q6" s="543" t="e">
        <f>IF(#REF!=0,FALSE,TRUE)</f>
        <v>#REF!</v>
      </c>
      <c r="R6" s="541"/>
      <c r="S6" s="543" t="e">
        <f>IF(#REF!=0,FALSE,TRUE)</f>
        <v>#REF!</v>
      </c>
      <c r="T6" s="541"/>
      <c r="U6" s="543" t="e">
        <f>IF(#REF!=0,FALSE,TRUE)</f>
        <v>#REF!</v>
      </c>
      <c r="V6" s="365"/>
      <c r="W6" s="366"/>
      <c r="X6" s="540">
        <v>3</v>
      </c>
      <c r="Y6" s="544" t="e">
        <f>IF(#REF!=0,FALSE,TRUE)</f>
        <v>#REF!</v>
      </c>
      <c r="Z6" s="544" t="e">
        <f>IF(#REF!=0,FALSE,TRUE)</f>
        <v>#REF!</v>
      </c>
      <c r="AA6" s="545"/>
      <c r="AB6" s="542"/>
    </row>
    <row r="7" spans="1:34" s="368" customFormat="1" ht="15" x14ac:dyDescent="0.2">
      <c r="A7" s="368" t="s">
        <v>439</v>
      </c>
      <c r="B7" s="540">
        <v>4</v>
      </c>
      <c r="C7" s="543" t="e">
        <f>IF(#REF!=0,FALSE,TRUE)</f>
        <v>#REF!</v>
      </c>
      <c r="D7" s="541"/>
      <c r="E7" s="543" t="e">
        <f>IF(#REF!=0,FALSE,TRUE)</f>
        <v>#REF!</v>
      </c>
      <c r="F7" s="541"/>
      <c r="G7" s="543" t="e">
        <f>IF(#REF!=0,FALSE,TRUE)</f>
        <v>#REF!</v>
      </c>
      <c r="H7" s="365"/>
      <c r="I7" s="540">
        <v>4</v>
      </c>
      <c r="J7" s="543" t="e">
        <f>IF(#REF!=0,FALSE,TRUE)</f>
        <v>#REF!</v>
      </c>
      <c r="K7" s="541"/>
      <c r="L7" s="543" t="e">
        <f>IF(#REF!=0,FALSE,TRUE)</f>
        <v>#REF!</v>
      </c>
      <c r="M7" s="541"/>
      <c r="N7" s="543" t="e">
        <f>IF(#REF!=0,FALSE,TRUE)</f>
        <v>#REF!</v>
      </c>
      <c r="O7" s="365"/>
      <c r="P7" s="540">
        <v>4</v>
      </c>
      <c r="Q7" s="543" t="e">
        <f>IF(#REF!=0,FALSE,TRUE)</f>
        <v>#REF!</v>
      </c>
      <c r="R7" s="541"/>
      <c r="S7" s="543" t="e">
        <f>IF(#REF!=0,FALSE,TRUE)</f>
        <v>#REF!</v>
      </c>
      <c r="T7" s="541"/>
      <c r="U7" s="543" t="e">
        <f>IF(#REF!=0,FALSE,TRUE)</f>
        <v>#REF!</v>
      </c>
      <c r="V7" s="365"/>
      <c r="W7" s="366"/>
      <c r="X7" s="540">
        <v>4</v>
      </c>
      <c r="Y7" s="544" t="e">
        <f>IF(#REF!=0,FALSE,TRUE)</f>
        <v>#REF!</v>
      </c>
      <c r="Z7" s="544" t="e">
        <f>IF(#REF!=0,FALSE,TRUE)</f>
        <v>#REF!</v>
      </c>
      <c r="AA7" s="545"/>
      <c r="AB7" s="542"/>
    </row>
    <row r="8" spans="1:34" s="368" customFormat="1" ht="15" x14ac:dyDescent="0.2">
      <c r="A8" s="368" t="s">
        <v>440</v>
      </c>
      <c r="B8" s="540">
        <v>5</v>
      </c>
      <c r="C8" s="543" t="e">
        <f>IF(#REF!=0,FALSE,TRUE)</f>
        <v>#REF!</v>
      </c>
      <c r="D8" s="541"/>
      <c r="E8" s="543" t="e">
        <f>IF(#REF!=0,FALSE,TRUE)</f>
        <v>#REF!</v>
      </c>
      <c r="F8" s="541"/>
      <c r="G8" s="543" t="e">
        <f>IF(#REF!=0,FALSE,TRUE)</f>
        <v>#REF!</v>
      </c>
      <c r="H8" s="365"/>
      <c r="I8" s="540">
        <v>5</v>
      </c>
      <c r="J8" s="543" t="e">
        <f>IF(#REF!=0,FALSE,TRUE)</f>
        <v>#REF!</v>
      </c>
      <c r="K8" s="541"/>
      <c r="L8" s="543" t="e">
        <f>IF(#REF!=0,FALSE,TRUE)</f>
        <v>#REF!</v>
      </c>
      <c r="M8" s="541"/>
      <c r="N8" s="543" t="e">
        <f>IF(#REF!=0,FALSE,TRUE)</f>
        <v>#REF!</v>
      </c>
      <c r="O8" s="365"/>
      <c r="P8" s="540">
        <v>5</v>
      </c>
      <c r="Q8" s="543" t="e">
        <f>IF(#REF!=0,FALSE,TRUE)</f>
        <v>#REF!</v>
      </c>
      <c r="R8" s="541"/>
      <c r="S8" s="543" t="e">
        <f>IF(#REF!=0,FALSE,TRUE)</f>
        <v>#REF!</v>
      </c>
      <c r="T8" s="541"/>
      <c r="U8" s="543" t="e">
        <f>IF(#REF!=0,FALSE,TRUE)</f>
        <v>#REF!</v>
      </c>
      <c r="V8" s="365"/>
      <c r="W8" s="366"/>
      <c r="X8" s="540">
        <v>5</v>
      </c>
      <c r="Y8" s="544" t="e">
        <f>IF(#REF!=0,FALSE,TRUE)</f>
        <v>#REF!</v>
      </c>
      <c r="Z8" s="544" t="e">
        <f>IF(#REF!=0,FALSE,TRUE)</f>
        <v>#REF!</v>
      </c>
      <c r="AA8" s="545"/>
      <c r="AB8" s="542"/>
    </row>
    <row r="9" spans="1:34" s="368" customFormat="1" ht="15" x14ac:dyDescent="0.2">
      <c r="A9" s="368" t="s">
        <v>441</v>
      </c>
      <c r="B9" s="540">
        <v>6</v>
      </c>
      <c r="C9" s="543" t="e">
        <f>IF(#REF!=0,FALSE,TRUE)</f>
        <v>#REF!</v>
      </c>
      <c r="D9" s="541"/>
      <c r="E9" s="543" t="e">
        <f>IF(#REF!=0,FALSE,TRUE)</f>
        <v>#REF!</v>
      </c>
      <c r="F9" s="541"/>
      <c r="G9" s="543" t="e">
        <f>IF(#REF!=0,FALSE,TRUE)</f>
        <v>#REF!</v>
      </c>
      <c r="H9" s="365"/>
      <c r="I9" s="540">
        <v>6</v>
      </c>
      <c r="J9" s="543" t="e">
        <f>IF(#REF!=0,FALSE,TRUE)</f>
        <v>#REF!</v>
      </c>
      <c r="K9" s="541"/>
      <c r="L9" s="543" t="e">
        <f>IF(#REF!=0,FALSE,TRUE)</f>
        <v>#REF!</v>
      </c>
      <c r="M9" s="541"/>
      <c r="N9" s="543" t="e">
        <f>IF(#REF!=0,FALSE,TRUE)</f>
        <v>#REF!</v>
      </c>
      <c r="O9" s="365"/>
      <c r="P9" s="540">
        <v>6</v>
      </c>
      <c r="Q9" s="543" t="e">
        <f>IF(#REF!=0,FALSE,TRUE)</f>
        <v>#REF!</v>
      </c>
      <c r="R9" s="541"/>
      <c r="S9" s="543" t="e">
        <f>IF(#REF!=0,FALSE,TRUE)</f>
        <v>#REF!</v>
      </c>
      <c r="T9" s="541"/>
      <c r="U9" s="543" t="e">
        <f>IF(#REF!=0,FALSE,TRUE)</f>
        <v>#REF!</v>
      </c>
      <c r="V9" s="365"/>
      <c r="W9" s="366"/>
      <c r="X9" s="540">
        <v>6</v>
      </c>
      <c r="Y9" s="544" t="e">
        <f>IF(#REF!=0,FALSE,TRUE)</f>
        <v>#REF!</v>
      </c>
      <c r="Z9" s="544" t="e">
        <f>IF(#REF!=0,FALSE,TRUE)</f>
        <v>#REF!</v>
      </c>
      <c r="AA9" s="545"/>
      <c r="AB9" s="542"/>
    </row>
    <row r="10" spans="1:34" s="368" customFormat="1" ht="15" x14ac:dyDescent="0.2">
      <c r="A10" s="368" t="s">
        <v>442</v>
      </c>
      <c r="B10" s="540">
        <v>7</v>
      </c>
      <c r="C10" s="543" t="e">
        <f>IF(#REF!=0,FALSE,TRUE)</f>
        <v>#REF!</v>
      </c>
      <c r="D10" s="541"/>
      <c r="E10" s="543" t="e">
        <f>IF(#REF!=0,FALSE,TRUE)</f>
        <v>#REF!</v>
      </c>
      <c r="F10" s="541"/>
      <c r="G10" s="543" t="e">
        <f>IF(#REF!=0,FALSE,TRUE)</f>
        <v>#REF!</v>
      </c>
      <c r="H10" s="365"/>
      <c r="I10" s="540">
        <v>7</v>
      </c>
      <c r="J10" s="543" t="e">
        <f>IF(#REF!=0,FALSE,TRUE)</f>
        <v>#REF!</v>
      </c>
      <c r="K10" s="541"/>
      <c r="L10" s="543" t="e">
        <f>IF(#REF!=0,FALSE,TRUE)</f>
        <v>#REF!</v>
      </c>
      <c r="M10" s="541"/>
      <c r="N10" s="543" t="e">
        <f>IF(#REF!=0,FALSE,TRUE)</f>
        <v>#REF!</v>
      </c>
      <c r="O10" s="365"/>
      <c r="P10" s="540">
        <v>7</v>
      </c>
      <c r="Q10" s="543" t="e">
        <f>IF(#REF!=0,FALSE,TRUE)</f>
        <v>#REF!</v>
      </c>
      <c r="R10" s="541"/>
      <c r="S10" s="543" t="e">
        <f>IF(#REF!=0,FALSE,TRUE)</f>
        <v>#REF!</v>
      </c>
      <c r="T10" s="541"/>
      <c r="U10" s="543" t="e">
        <f>IF(#REF!=0,FALSE,TRUE)</f>
        <v>#REF!</v>
      </c>
      <c r="V10" s="365"/>
      <c r="W10" s="366"/>
      <c r="X10" s="540">
        <v>7</v>
      </c>
      <c r="Y10" s="544" t="e">
        <f>IF(#REF!=0,FALSE,TRUE)</f>
        <v>#REF!</v>
      </c>
      <c r="Z10" s="544" t="e">
        <f>IF(#REF!=0,FALSE,TRUE)</f>
        <v>#REF!</v>
      </c>
      <c r="AA10" s="545"/>
      <c r="AB10" s="542"/>
    </row>
    <row r="11" spans="1:34" s="368" customFormat="1" ht="15" x14ac:dyDescent="0.2">
      <c r="A11" s="368" t="s">
        <v>443</v>
      </c>
      <c r="B11" s="540">
        <v>8</v>
      </c>
      <c r="C11" s="546" t="e">
        <f>IF(#REF!=0,FALSE,TRUE)</f>
        <v>#REF!</v>
      </c>
      <c r="D11" s="541"/>
      <c r="E11" s="543" t="e">
        <f>IF(#REF!=0,FALSE,TRUE)</f>
        <v>#REF!</v>
      </c>
      <c r="F11" s="541"/>
      <c r="G11" s="543" t="e">
        <f>IF(#REF!=0,FALSE,TRUE)</f>
        <v>#REF!</v>
      </c>
      <c r="H11" s="365"/>
      <c r="I11" s="540">
        <v>8</v>
      </c>
      <c r="J11" s="546" t="e">
        <f>IF(#REF!=0,FALSE,TRUE)</f>
        <v>#REF!</v>
      </c>
      <c r="K11" s="541"/>
      <c r="L11" s="543" t="e">
        <f>IF(#REF!=0,FALSE,TRUE)</f>
        <v>#REF!</v>
      </c>
      <c r="M11" s="541"/>
      <c r="N11" s="543" t="e">
        <f>IF(#REF!=0,FALSE,TRUE)</f>
        <v>#REF!</v>
      </c>
      <c r="O11" s="365"/>
      <c r="P11" s="540">
        <v>8</v>
      </c>
      <c r="Q11" s="546" t="e">
        <f>IF(#REF!=0,FALSE,TRUE)</f>
        <v>#REF!</v>
      </c>
      <c r="R11" s="541"/>
      <c r="S11" s="543" t="e">
        <f>IF(#REF!=0,FALSE,TRUE)</f>
        <v>#REF!</v>
      </c>
      <c r="T11" s="541"/>
      <c r="U11" s="543" t="e">
        <f>IF(#REF!=0,FALSE,TRUE)</f>
        <v>#REF!</v>
      </c>
      <c r="V11" s="365"/>
      <c r="W11" s="366"/>
      <c r="X11" s="540">
        <v>8</v>
      </c>
      <c r="Y11" s="544" t="e">
        <f>IF(#REF!=0,FALSE,TRUE)</f>
        <v>#REF!</v>
      </c>
      <c r="Z11" s="544" t="e">
        <f>IF(#REF!=0,FALSE,TRUE)</f>
        <v>#REF!</v>
      </c>
      <c r="AA11" s="545"/>
      <c r="AB11" s="542"/>
    </row>
    <row r="12" spans="1:34" s="368" customFormat="1" ht="15" x14ac:dyDescent="0.2">
      <c r="A12" s="368" t="s">
        <v>444</v>
      </c>
      <c r="B12" s="540">
        <v>9</v>
      </c>
      <c r="C12" s="546" t="e">
        <f>IF(#REF!=0,FALSE,TRUE)</f>
        <v>#REF!</v>
      </c>
      <c r="D12" s="541"/>
      <c r="E12" s="543" t="e">
        <f>IF(#REF!=0,FALSE,TRUE)</f>
        <v>#REF!</v>
      </c>
      <c r="F12" s="541"/>
      <c r="G12" s="543" t="e">
        <f>IF(#REF!=0,FALSE,TRUE)</f>
        <v>#REF!</v>
      </c>
      <c r="H12" s="365"/>
      <c r="I12" s="540">
        <v>9</v>
      </c>
      <c r="J12" s="546" t="e">
        <f>IF(#REF!=0,FALSE,TRUE)</f>
        <v>#REF!</v>
      </c>
      <c r="K12" s="541"/>
      <c r="L12" s="543" t="e">
        <f>IF(#REF!=0,FALSE,TRUE)</f>
        <v>#REF!</v>
      </c>
      <c r="M12" s="541"/>
      <c r="N12" s="543" t="e">
        <f>IF(#REF!=0,FALSE,TRUE)</f>
        <v>#REF!</v>
      </c>
      <c r="O12" s="365"/>
      <c r="P12" s="540">
        <v>9</v>
      </c>
      <c r="Q12" s="546" t="e">
        <f>IF(#REF!=0,FALSE,TRUE)</f>
        <v>#REF!</v>
      </c>
      <c r="R12" s="541"/>
      <c r="S12" s="543" t="e">
        <f>IF(#REF!=0,FALSE,TRUE)</f>
        <v>#REF!</v>
      </c>
      <c r="T12" s="541"/>
      <c r="U12" s="543" t="e">
        <f>IF(#REF!=0,FALSE,TRUE)</f>
        <v>#REF!</v>
      </c>
      <c r="V12" s="365"/>
      <c r="W12" s="366"/>
      <c r="X12" s="540">
        <v>9</v>
      </c>
      <c r="Y12" s="544" t="e">
        <f>IF(#REF!=0,FALSE,TRUE)</f>
        <v>#REF!</v>
      </c>
      <c r="Z12" s="544" t="e">
        <f>IF(#REF!=0,FALSE,TRUE)</f>
        <v>#REF!</v>
      </c>
      <c r="AA12" s="545"/>
      <c r="AB12" s="542"/>
    </row>
    <row r="13" spans="1:34" s="368" customFormat="1" ht="15" x14ac:dyDescent="0.2">
      <c r="A13" s="368" t="s">
        <v>445</v>
      </c>
      <c r="B13" s="540">
        <v>10</v>
      </c>
      <c r="C13" s="546" t="e">
        <f>IF(#REF!=0,FALSE,TRUE)</f>
        <v>#REF!</v>
      </c>
      <c r="D13" s="541"/>
      <c r="E13" s="543" t="e">
        <f>IF(#REF!=0,FALSE,TRUE)</f>
        <v>#REF!</v>
      </c>
      <c r="F13" s="541"/>
      <c r="G13" s="543" t="e">
        <f>IF(#REF!=0,FALSE,TRUE)</f>
        <v>#REF!</v>
      </c>
      <c r="H13" s="365"/>
      <c r="I13" s="540">
        <v>10</v>
      </c>
      <c r="J13" s="546" t="e">
        <f>IF(#REF!=0,FALSE,TRUE)</f>
        <v>#REF!</v>
      </c>
      <c r="K13" s="541"/>
      <c r="L13" s="543" t="e">
        <f>IF(#REF!=0,FALSE,TRUE)</f>
        <v>#REF!</v>
      </c>
      <c r="M13" s="541"/>
      <c r="N13" s="543" t="e">
        <f>IF(#REF!=0,FALSE,TRUE)</f>
        <v>#REF!</v>
      </c>
      <c r="O13" s="365"/>
      <c r="P13" s="540">
        <v>10</v>
      </c>
      <c r="Q13" s="546" t="e">
        <f>IF(#REF!=0,FALSE,TRUE)</f>
        <v>#REF!</v>
      </c>
      <c r="R13" s="541"/>
      <c r="S13" s="543" t="e">
        <f>IF(#REF!=0,FALSE,TRUE)</f>
        <v>#REF!</v>
      </c>
      <c r="T13" s="541"/>
      <c r="U13" s="543" t="e">
        <f>IF(#REF!=0,FALSE,TRUE)</f>
        <v>#REF!</v>
      </c>
      <c r="V13" s="365"/>
      <c r="W13" s="366"/>
      <c r="X13" s="540">
        <v>10</v>
      </c>
      <c r="Y13" s="544" t="e">
        <f>IF(#REF!=0,FALSE,TRUE)</f>
        <v>#REF!</v>
      </c>
      <c r="Z13" s="544" t="e">
        <f>IF(#REF!=0,FALSE,TRUE)</f>
        <v>#REF!</v>
      </c>
      <c r="AA13" s="545"/>
      <c r="AB13" s="542"/>
    </row>
    <row r="14" spans="1:34" s="368" customFormat="1" ht="15" x14ac:dyDescent="0.2">
      <c r="A14" s="368" t="s">
        <v>446</v>
      </c>
      <c r="B14" s="540">
        <v>11</v>
      </c>
      <c r="C14" s="547" t="e">
        <f>IF(#REF!=0,FALSE,TRUE)</f>
        <v>#REF!</v>
      </c>
      <c r="D14" s="541"/>
      <c r="E14" s="543" t="e">
        <f>IF(#REF!=0,FALSE,TRUE)</f>
        <v>#REF!</v>
      </c>
      <c r="F14" s="541"/>
      <c r="G14" s="543" t="e">
        <f>IF(#REF!=0,FALSE,TRUE)</f>
        <v>#REF!</v>
      </c>
      <c r="H14" s="365"/>
      <c r="I14" s="540">
        <v>11</v>
      </c>
      <c r="J14" s="547" t="e">
        <f>IF(#REF!=0,FALSE,TRUE)</f>
        <v>#REF!</v>
      </c>
      <c r="K14" s="541"/>
      <c r="L14" s="543" t="e">
        <f>IF(#REF!=0,FALSE,TRUE)</f>
        <v>#REF!</v>
      </c>
      <c r="M14" s="541"/>
      <c r="N14" s="543" t="e">
        <f>IF(#REF!=0,FALSE,TRUE)</f>
        <v>#REF!</v>
      </c>
      <c r="O14" s="365"/>
      <c r="P14" s="540">
        <v>11</v>
      </c>
      <c r="Q14" s="547" t="e">
        <f>IF(#REF!=0,FALSE,TRUE)</f>
        <v>#REF!</v>
      </c>
      <c r="R14" s="541"/>
      <c r="S14" s="543" t="e">
        <f>IF(#REF!=0,FALSE,TRUE)</f>
        <v>#REF!</v>
      </c>
      <c r="T14" s="541"/>
      <c r="U14" s="543" t="e">
        <f>IF(#REF!=0,FALSE,TRUE)</f>
        <v>#REF!</v>
      </c>
      <c r="V14" s="365"/>
      <c r="W14" s="366"/>
      <c r="X14" s="540">
        <v>11</v>
      </c>
      <c r="Y14" s="544" t="e">
        <f>IF(#REF!=0,FALSE,TRUE)</f>
        <v>#REF!</v>
      </c>
      <c r="Z14" s="544" t="e">
        <f>IF(#REF!=0,FALSE,TRUE)</f>
        <v>#REF!</v>
      </c>
      <c r="AA14" s="545"/>
      <c r="AB14" s="542"/>
    </row>
    <row r="15" spans="1:34" s="368" customFormat="1" ht="15" x14ac:dyDescent="0.2">
      <c r="A15" s="368" t="s">
        <v>447</v>
      </c>
      <c r="B15" s="540">
        <v>12</v>
      </c>
      <c r="C15" s="547" t="e">
        <f>IF(#REF!=0,FALSE,TRUE)</f>
        <v>#REF!</v>
      </c>
      <c r="D15" s="541"/>
      <c r="E15" s="543" t="e">
        <f>IF(#REF!=0,FALSE,TRUE)</f>
        <v>#REF!</v>
      </c>
      <c r="F15" s="541"/>
      <c r="G15" s="543" t="e">
        <f>IF(#REF!=0,FALSE,TRUE)</f>
        <v>#REF!</v>
      </c>
      <c r="H15" s="365"/>
      <c r="I15" s="540">
        <v>12</v>
      </c>
      <c r="J15" s="547" t="e">
        <f>IF(#REF!=0,FALSE,TRUE)</f>
        <v>#REF!</v>
      </c>
      <c r="K15" s="541"/>
      <c r="L15" s="543" t="e">
        <f>IF(#REF!=0,FALSE,TRUE)</f>
        <v>#REF!</v>
      </c>
      <c r="M15" s="541"/>
      <c r="N15" s="543" t="e">
        <f>IF(#REF!=0,FALSE,TRUE)</f>
        <v>#REF!</v>
      </c>
      <c r="O15" s="365"/>
      <c r="P15" s="540">
        <v>12</v>
      </c>
      <c r="Q15" s="547" t="e">
        <f>IF(#REF!=0,FALSE,TRUE)</f>
        <v>#REF!</v>
      </c>
      <c r="R15" s="541"/>
      <c r="S15" s="543" t="e">
        <f>IF(#REF!=0,FALSE,TRUE)</f>
        <v>#REF!</v>
      </c>
      <c r="T15" s="541"/>
      <c r="U15" s="543" t="e">
        <f>IF(#REF!=0,FALSE,TRUE)</f>
        <v>#REF!</v>
      </c>
      <c r="V15" s="365"/>
      <c r="W15" s="366"/>
      <c r="X15" s="540">
        <v>12</v>
      </c>
      <c r="Y15" s="544" t="e">
        <f>IF(#REF!=0,FALSE,TRUE)</f>
        <v>#REF!</v>
      </c>
      <c r="Z15" s="544" t="e">
        <f>IF(#REF!=0,FALSE,TRUE)</f>
        <v>#REF!</v>
      </c>
      <c r="AA15" s="545"/>
      <c r="AB15" s="542"/>
    </row>
    <row r="16" spans="1:34" s="368" customFormat="1" ht="15" x14ac:dyDescent="0.2">
      <c r="A16" s="368" t="s">
        <v>448</v>
      </c>
      <c r="B16" s="540">
        <v>13</v>
      </c>
      <c r="C16" s="547" t="e">
        <f>IF(#REF!=0,FALSE,TRUE)</f>
        <v>#REF!</v>
      </c>
      <c r="D16" s="541"/>
      <c r="E16" s="543" t="e">
        <f>IF(#REF!=0,FALSE,TRUE)</f>
        <v>#REF!</v>
      </c>
      <c r="F16" s="541"/>
      <c r="G16" s="543" t="e">
        <f>IF(#REF!=0,FALSE,TRUE)</f>
        <v>#REF!</v>
      </c>
      <c r="H16" s="365"/>
      <c r="I16" s="540">
        <v>13</v>
      </c>
      <c r="J16" s="547" t="e">
        <f>IF(#REF!=0,FALSE,TRUE)</f>
        <v>#REF!</v>
      </c>
      <c r="K16" s="541"/>
      <c r="L16" s="543" t="e">
        <f>IF(#REF!=0,FALSE,TRUE)</f>
        <v>#REF!</v>
      </c>
      <c r="M16" s="541"/>
      <c r="N16" s="543" t="e">
        <f>IF(#REF!=0,FALSE,TRUE)</f>
        <v>#REF!</v>
      </c>
      <c r="O16" s="365"/>
      <c r="P16" s="540">
        <v>13</v>
      </c>
      <c r="Q16" s="547" t="e">
        <f>IF(#REF!=0,FALSE,TRUE)</f>
        <v>#REF!</v>
      </c>
      <c r="R16" s="541"/>
      <c r="S16" s="543" t="e">
        <f>IF(#REF!=0,FALSE,TRUE)</f>
        <v>#REF!</v>
      </c>
      <c r="T16" s="541"/>
      <c r="U16" s="543" t="e">
        <f>IF(#REF!=0,FALSE,TRUE)</f>
        <v>#REF!</v>
      </c>
      <c r="V16" s="365"/>
      <c r="W16" s="365"/>
      <c r="X16" s="366"/>
      <c r="Y16" s="366"/>
      <c r="Z16" s="365"/>
      <c r="AA16" s="372"/>
      <c r="AB16" s="372"/>
      <c r="AC16" s="372"/>
      <c r="AG16" s="369"/>
      <c r="AH16" s="369"/>
    </row>
    <row r="17" spans="1:37" s="368" customFormat="1" ht="15" x14ac:dyDescent="0.2">
      <c r="A17" s="368" t="s">
        <v>449</v>
      </c>
      <c r="B17" s="540">
        <v>14</v>
      </c>
      <c r="C17" s="547" t="e">
        <f>IF(#REF!=0,FALSE,TRUE)</f>
        <v>#REF!</v>
      </c>
      <c r="D17" s="541"/>
      <c r="E17" s="543" t="e">
        <f>IF(#REF!=0,FALSE,TRUE)</f>
        <v>#REF!</v>
      </c>
      <c r="F17" s="541"/>
      <c r="G17" s="543" t="e">
        <f>IF(#REF!=0,FALSE,TRUE)</f>
        <v>#REF!</v>
      </c>
      <c r="H17" s="365"/>
      <c r="I17" s="540">
        <v>14</v>
      </c>
      <c r="J17" s="547" t="e">
        <f>IF(#REF!=0,FALSE,TRUE)</f>
        <v>#REF!</v>
      </c>
      <c r="K17" s="541"/>
      <c r="L17" s="543" t="e">
        <f>IF(#REF!=0,FALSE,TRUE)</f>
        <v>#REF!</v>
      </c>
      <c r="M17" s="541"/>
      <c r="N17" s="543" t="e">
        <f>IF(#REF!=0,FALSE,TRUE)</f>
        <v>#REF!</v>
      </c>
      <c r="O17" s="365"/>
      <c r="P17" s="540">
        <v>14</v>
      </c>
      <c r="Q17" s="547" t="e">
        <f>IF(#REF!=0,FALSE,TRUE)</f>
        <v>#REF!</v>
      </c>
      <c r="R17" s="541"/>
      <c r="S17" s="543" t="e">
        <f>IF(#REF!=0,FALSE,TRUE)</f>
        <v>#REF!</v>
      </c>
      <c r="T17" s="541"/>
      <c r="U17" s="543" t="e">
        <f>IF(#REF!=0,FALSE,TRUE)</f>
        <v>#REF!</v>
      </c>
      <c r="V17" s="365"/>
      <c r="W17" s="365"/>
      <c r="X17" s="366"/>
      <c r="Y17" s="366"/>
      <c r="Z17" s="365"/>
      <c r="AA17" s="372"/>
      <c r="AB17" s="372"/>
      <c r="AC17" s="372"/>
      <c r="AG17" s="369"/>
      <c r="AH17" s="369"/>
    </row>
    <row r="18" spans="1:37" s="368" customFormat="1" ht="15" x14ac:dyDescent="0.2">
      <c r="A18" s="368" t="s">
        <v>450</v>
      </c>
      <c r="B18" s="540">
        <v>15</v>
      </c>
      <c r="C18" s="547" t="e">
        <f>IF(#REF!=0,FALSE,TRUE)</f>
        <v>#REF!</v>
      </c>
      <c r="D18" s="541"/>
      <c r="E18" s="543" t="e">
        <f>IF(#REF!=0,FALSE,TRUE)</f>
        <v>#REF!</v>
      </c>
      <c r="F18" s="541"/>
      <c r="G18" s="543" t="e">
        <f>IF(#REF!=0,FALSE,TRUE)</f>
        <v>#REF!</v>
      </c>
      <c r="H18" s="365"/>
      <c r="I18" s="540">
        <v>15</v>
      </c>
      <c r="J18" s="547" t="e">
        <f>IF(#REF!=0,FALSE,TRUE)</f>
        <v>#REF!</v>
      </c>
      <c r="K18" s="541"/>
      <c r="L18" s="543" t="e">
        <f>IF(#REF!=0,FALSE,TRUE)</f>
        <v>#REF!</v>
      </c>
      <c r="M18" s="541"/>
      <c r="N18" s="543" t="e">
        <f>IF(#REF!=0,FALSE,TRUE)</f>
        <v>#REF!</v>
      </c>
      <c r="O18" s="365"/>
      <c r="P18" s="540">
        <v>15</v>
      </c>
      <c r="Q18" s="547" t="e">
        <f>IF(#REF!=0,FALSE,TRUE)</f>
        <v>#REF!</v>
      </c>
      <c r="R18" s="541"/>
      <c r="S18" s="543" t="e">
        <f>IF(#REF!=0,FALSE,TRUE)</f>
        <v>#REF!</v>
      </c>
      <c r="T18" s="541"/>
      <c r="U18" s="543" t="e">
        <f>IF(#REF!=0,FALSE,TRUE)</f>
        <v>#REF!</v>
      </c>
      <c r="V18" s="365"/>
      <c r="W18" s="365"/>
      <c r="X18" s="366"/>
      <c r="Y18" s="366"/>
      <c r="Z18" s="365"/>
      <c r="AA18" s="372"/>
      <c r="AB18" s="372"/>
      <c r="AC18" s="372"/>
      <c r="AG18" s="369"/>
      <c r="AH18" s="369"/>
    </row>
    <row r="19" spans="1:37" s="368" customFormat="1" ht="15" x14ac:dyDescent="0.2">
      <c r="A19" s="368" t="s">
        <v>451</v>
      </c>
      <c r="B19" s="540">
        <v>16</v>
      </c>
      <c r="C19" s="547" t="e">
        <f>IF(#REF!=0,FALSE,TRUE)</f>
        <v>#REF!</v>
      </c>
      <c r="D19" s="541"/>
      <c r="E19" s="543" t="e">
        <f>IF(#REF!=0,FALSE,TRUE)</f>
        <v>#REF!</v>
      </c>
      <c r="F19" s="541"/>
      <c r="G19" s="543" t="e">
        <f>IF(#REF!=0,FALSE,TRUE)</f>
        <v>#REF!</v>
      </c>
      <c r="H19" s="365"/>
      <c r="I19" s="540">
        <v>16</v>
      </c>
      <c r="J19" s="547" t="e">
        <f>IF(#REF!=0,FALSE,TRUE)</f>
        <v>#REF!</v>
      </c>
      <c r="K19" s="541"/>
      <c r="L19" s="543" t="e">
        <f>IF(#REF!=0,FALSE,TRUE)</f>
        <v>#REF!</v>
      </c>
      <c r="M19" s="541"/>
      <c r="N19" s="543" t="e">
        <f>IF(#REF!=0,FALSE,TRUE)</f>
        <v>#REF!</v>
      </c>
      <c r="O19" s="365"/>
      <c r="P19" s="540">
        <v>16</v>
      </c>
      <c r="Q19" s="547" t="e">
        <f>IF(#REF!=0,FALSE,TRUE)</f>
        <v>#REF!</v>
      </c>
      <c r="R19" s="541"/>
      <c r="S19" s="543" t="e">
        <f>IF(#REF!=0,FALSE,TRUE)</f>
        <v>#REF!</v>
      </c>
      <c r="T19" s="541"/>
      <c r="U19" s="543" t="e">
        <f>IF(#REF!=0,FALSE,TRUE)</f>
        <v>#REF!</v>
      </c>
      <c r="V19" s="365"/>
      <c r="W19" s="365"/>
      <c r="X19" s="366"/>
      <c r="Y19" s="366"/>
      <c r="Z19" s="365"/>
      <c r="AA19" s="372"/>
      <c r="AB19" s="372"/>
      <c r="AC19" s="372"/>
      <c r="AG19" s="369"/>
      <c r="AH19" s="369"/>
    </row>
    <row r="20" spans="1:37" s="368" customFormat="1" ht="15" x14ac:dyDescent="0.2">
      <c r="A20" s="368" t="s">
        <v>452</v>
      </c>
      <c r="B20" s="540">
        <v>17</v>
      </c>
      <c r="C20" s="547" t="e">
        <f>IF(#REF!=0,FALSE,TRUE)</f>
        <v>#REF!</v>
      </c>
      <c r="D20" s="541"/>
      <c r="E20" s="543" t="e">
        <f>IF(#REF!=0,FALSE,TRUE)</f>
        <v>#REF!</v>
      </c>
      <c r="F20" s="541"/>
      <c r="G20" s="543" t="e">
        <f>IF(#REF!=0,FALSE,TRUE)</f>
        <v>#REF!</v>
      </c>
      <c r="H20" s="365"/>
      <c r="I20" s="540">
        <v>17</v>
      </c>
      <c r="J20" s="547" t="e">
        <f>IF(#REF!=0,FALSE,TRUE)</f>
        <v>#REF!</v>
      </c>
      <c r="K20" s="541"/>
      <c r="L20" s="543" t="e">
        <f>IF(#REF!=0,FALSE,TRUE)</f>
        <v>#REF!</v>
      </c>
      <c r="M20" s="541"/>
      <c r="N20" s="543" t="e">
        <f>IF(#REF!=0,FALSE,TRUE)</f>
        <v>#REF!</v>
      </c>
      <c r="O20" s="365"/>
      <c r="P20" s="540">
        <v>17</v>
      </c>
      <c r="Q20" s="547" t="e">
        <f>IF(#REF!=0,FALSE,TRUE)</f>
        <v>#REF!</v>
      </c>
      <c r="R20" s="541"/>
      <c r="S20" s="543" t="e">
        <f>IF(#REF!=0,FALSE,TRUE)</f>
        <v>#REF!</v>
      </c>
      <c r="T20" s="541"/>
      <c r="U20" s="543" t="e">
        <f>IF(#REF!=0,FALSE,TRUE)</f>
        <v>#REF!</v>
      </c>
      <c r="V20" s="365"/>
      <c r="W20" s="365"/>
      <c r="X20" s="366"/>
      <c r="Y20" s="366"/>
      <c r="Z20" s="365"/>
      <c r="AA20" s="372"/>
      <c r="AB20" s="372"/>
      <c r="AC20" s="372"/>
      <c r="AG20" s="369"/>
      <c r="AH20" s="369"/>
    </row>
    <row r="21" spans="1:37" s="368" customFormat="1" ht="15" x14ac:dyDescent="0.2">
      <c r="A21" s="368" t="s">
        <v>453</v>
      </c>
      <c r="B21" s="540">
        <v>18</v>
      </c>
      <c r="C21" s="546" t="e">
        <f>IF(#REF!=0,FALSE,TRUE)</f>
        <v>#REF!</v>
      </c>
      <c r="D21" s="541"/>
      <c r="E21" s="543" t="e">
        <f>IF(#REF!=0,FALSE,TRUE)</f>
        <v>#REF!</v>
      </c>
      <c r="F21" s="541"/>
      <c r="G21" s="543" t="e">
        <f>IF(#REF!=0,FALSE,TRUE)</f>
        <v>#REF!</v>
      </c>
      <c r="H21" s="365"/>
      <c r="I21" s="540">
        <v>18</v>
      </c>
      <c r="J21" s="546" t="e">
        <f>IF(#REF!=0,FALSE,TRUE)</f>
        <v>#REF!</v>
      </c>
      <c r="K21" s="541"/>
      <c r="L21" s="543" t="e">
        <f>IF(#REF!=0,FALSE,TRUE)</f>
        <v>#REF!</v>
      </c>
      <c r="M21" s="541"/>
      <c r="N21" s="543" t="e">
        <f>IF(#REF!=0,FALSE,TRUE)</f>
        <v>#REF!</v>
      </c>
      <c r="O21" s="365"/>
      <c r="P21" s="540">
        <v>18</v>
      </c>
      <c r="Q21" s="546" t="e">
        <f>IF(#REF!=0,FALSE,TRUE)</f>
        <v>#REF!</v>
      </c>
      <c r="R21" s="541"/>
      <c r="S21" s="543" t="e">
        <f>IF(#REF!=0,FALSE,TRUE)</f>
        <v>#REF!</v>
      </c>
      <c r="T21" s="541"/>
      <c r="U21" s="543" t="e">
        <f>IF(#REF!=0,FALSE,TRUE)</f>
        <v>#REF!</v>
      </c>
      <c r="V21" s="365"/>
      <c r="W21" s="365"/>
      <c r="X21" s="366"/>
      <c r="Y21" s="366"/>
      <c r="Z21" s="365"/>
      <c r="AA21" s="372"/>
      <c r="AB21" s="372"/>
      <c r="AC21" s="372"/>
      <c r="AG21" s="369"/>
      <c r="AH21" s="369"/>
    </row>
    <row r="22" spans="1:37" s="368" customFormat="1" ht="15" x14ac:dyDescent="0.2">
      <c r="A22" s="368" t="s">
        <v>454</v>
      </c>
      <c r="B22" s="540">
        <v>19</v>
      </c>
      <c r="C22" s="546" t="e">
        <f>IF(#REF!=0,FALSE,TRUE)</f>
        <v>#REF!</v>
      </c>
      <c r="D22" s="541"/>
      <c r="E22" s="543" t="e">
        <f>IF(#REF!=0,FALSE,TRUE)</f>
        <v>#REF!</v>
      </c>
      <c r="F22" s="541"/>
      <c r="G22" s="543" t="e">
        <f>IF(#REF!=0,FALSE,TRUE)</f>
        <v>#REF!</v>
      </c>
      <c r="H22" s="365"/>
      <c r="I22" s="540">
        <v>19</v>
      </c>
      <c r="J22" s="546" t="e">
        <f>IF(#REF!=0,FALSE,TRUE)</f>
        <v>#REF!</v>
      </c>
      <c r="K22" s="541"/>
      <c r="L22" s="543" t="e">
        <f>IF(#REF!=0,FALSE,TRUE)</f>
        <v>#REF!</v>
      </c>
      <c r="M22" s="541"/>
      <c r="N22" s="543" t="e">
        <f>IF(#REF!=0,FALSE,TRUE)</f>
        <v>#REF!</v>
      </c>
      <c r="O22" s="365"/>
      <c r="P22" s="540">
        <v>19</v>
      </c>
      <c r="Q22" s="546" t="e">
        <f>IF(#REF!=0,FALSE,TRUE)</f>
        <v>#REF!</v>
      </c>
      <c r="R22" s="541"/>
      <c r="S22" s="543" t="e">
        <f>IF(#REF!=0,FALSE,TRUE)</f>
        <v>#REF!</v>
      </c>
      <c r="T22" s="541"/>
      <c r="U22" s="543" t="e">
        <f>IF(#REF!=0,FALSE,TRUE)</f>
        <v>#REF!</v>
      </c>
      <c r="V22" s="365"/>
      <c r="W22" s="365"/>
      <c r="X22" s="366"/>
      <c r="Y22" s="366"/>
      <c r="Z22" s="365"/>
      <c r="AA22" s="372"/>
      <c r="AB22" s="372"/>
      <c r="AC22" s="372"/>
      <c r="AG22" s="369"/>
      <c r="AH22" s="369"/>
    </row>
    <row r="23" spans="1:37" s="368" customFormat="1" ht="15" x14ac:dyDescent="0.2">
      <c r="A23" s="368" t="s">
        <v>455</v>
      </c>
      <c r="B23" s="540">
        <v>20</v>
      </c>
      <c r="C23" s="546" t="e">
        <f>IF(#REF!=0,FALSE,TRUE)</f>
        <v>#REF!</v>
      </c>
      <c r="D23" s="541"/>
      <c r="E23" s="543" t="e">
        <f>IF(#REF!=0,FALSE,TRUE)</f>
        <v>#REF!</v>
      </c>
      <c r="F23" s="541"/>
      <c r="G23" s="543" t="e">
        <f>IF(#REF!=0,FALSE,TRUE)</f>
        <v>#REF!</v>
      </c>
      <c r="H23" s="365"/>
      <c r="I23" s="540">
        <v>20</v>
      </c>
      <c r="J23" s="546" t="e">
        <f>IF(#REF!=0,FALSE,TRUE)</f>
        <v>#REF!</v>
      </c>
      <c r="K23" s="541"/>
      <c r="L23" s="543" t="e">
        <f>IF(#REF!=0,FALSE,TRUE)</f>
        <v>#REF!</v>
      </c>
      <c r="M23" s="541"/>
      <c r="N23" s="543" t="e">
        <f>IF(#REF!=0,FALSE,TRUE)</f>
        <v>#REF!</v>
      </c>
      <c r="O23" s="365"/>
      <c r="P23" s="540">
        <v>20</v>
      </c>
      <c r="Q23" s="546" t="e">
        <f>IF(#REF!=0,FALSE,TRUE)</f>
        <v>#REF!</v>
      </c>
      <c r="R23" s="541"/>
      <c r="S23" s="543" t="e">
        <f>IF(#REF!=0,FALSE,TRUE)</f>
        <v>#REF!</v>
      </c>
      <c r="T23" s="541"/>
      <c r="U23" s="543" t="e">
        <f>IF(#REF!=0,FALSE,TRUE)</f>
        <v>#REF!</v>
      </c>
      <c r="V23" s="365"/>
      <c r="W23" s="365"/>
      <c r="X23" s="366"/>
      <c r="Y23" s="366"/>
      <c r="Z23" s="365"/>
      <c r="AA23" s="372"/>
      <c r="AB23" s="372"/>
      <c r="AC23" s="372"/>
      <c r="AG23" s="369"/>
      <c r="AH23" s="369"/>
    </row>
    <row r="24" spans="1:37" s="368" customFormat="1" ht="15" x14ac:dyDescent="0.2">
      <c r="A24" s="368" t="s">
        <v>456</v>
      </c>
      <c r="B24" s="540">
        <v>21</v>
      </c>
      <c r="C24" s="546" t="e">
        <f>IF(#REF!=0,FALSE,TRUE)</f>
        <v>#REF!</v>
      </c>
      <c r="D24" s="541"/>
      <c r="E24" s="543" t="e">
        <f>IF(#REF!=0,FALSE,TRUE)</f>
        <v>#REF!</v>
      </c>
      <c r="F24" s="541"/>
      <c r="G24" s="543" t="e">
        <f>IF(#REF!=0,FALSE,TRUE)</f>
        <v>#REF!</v>
      </c>
      <c r="H24" s="365"/>
      <c r="I24" s="540">
        <v>21</v>
      </c>
      <c r="J24" s="546" t="e">
        <f>IF(#REF!=0,FALSE,TRUE)</f>
        <v>#REF!</v>
      </c>
      <c r="K24" s="541"/>
      <c r="L24" s="543" t="e">
        <f>IF(#REF!=0,FALSE,TRUE)</f>
        <v>#REF!</v>
      </c>
      <c r="M24" s="541"/>
      <c r="N24" s="543" t="e">
        <f>IF(#REF!=0,FALSE,TRUE)</f>
        <v>#REF!</v>
      </c>
      <c r="O24" s="365"/>
      <c r="P24" s="540">
        <v>21</v>
      </c>
      <c r="Q24" s="546" t="e">
        <f>IF(#REF!=0,FALSE,TRUE)</f>
        <v>#REF!</v>
      </c>
      <c r="R24" s="541"/>
      <c r="S24" s="543" t="e">
        <f>IF(#REF!=0,FALSE,TRUE)</f>
        <v>#REF!</v>
      </c>
      <c r="T24" s="541"/>
      <c r="U24" s="543" t="e">
        <f>IF(#REF!=0,FALSE,TRUE)</f>
        <v>#REF!</v>
      </c>
      <c r="V24" s="365"/>
      <c r="W24" s="365"/>
      <c r="X24" s="366"/>
      <c r="Y24" s="366"/>
      <c r="Z24" s="365"/>
      <c r="AA24" s="372"/>
      <c r="AB24" s="372"/>
      <c r="AC24" s="372"/>
      <c r="AG24" s="369"/>
      <c r="AH24" s="369"/>
    </row>
    <row r="25" spans="1:37" s="368" customFormat="1" ht="15" x14ac:dyDescent="0.2">
      <c r="A25" s="368" t="s">
        <v>457</v>
      </c>
      <c r="B25" s="540">
        <v>22</v>
      </c>
      <c r="C25" s="543" t="e">
        <f>IF(#REF!=0,FALSE,TRUE)</f>
        <v>#REF!</v>
      </c>
      <c r="D25" s="541"/>
      <c r="E25" s="543" t="e">
        <f>IF(#REF!=0,FALSE,TRUE)</f>
        <v>#REF!</v>
      </c>
      <c r="F25" s="541"/>
      <c r="G25" s="543" t="e">
        <f>IF(#REF!=0,FALSE,TRUE)</f>
        <v>#REF!</v>
      </c>
      <c r="H25" s="365"/>
      <c r="I25" s="540">
        <v>22</v>
      </c>
      <c r="J25" s="543" t="e">
        <f>IF(#REF!=0,FALSE,TRUE)</f>
        <v>#REF!</v>
      </c>
      <c r="K25" s="541"/>
      <c r="L25" s="543" t="e">
        <f>IF(#REF!=0,FALSE,TRUE)</f>
        <v>#REF!</v>
      </c>
      <c r="M25" s="541"/>
      <c r="N25" s="543" t="e">
        <f>IF(#REF!=0,FALSE,TRUE)</f>
        <v>#REF!</v>
      </c>
      <c r="O25" s="365"/>
      <c r="P25" s="540">
        <v>22</v>
      </c>
      <c r="Q25" s="543" t="e">
        <f>IF(#REF!=0,FALSE,TRUE)</f>
        <v>#REF!</v>
      </c>
      <c r="R25" s="541"/>
      <c r="S25" s="543" t="e">
        <f>IF(#REF!=0,FALSE,TRUE)</f>
        <v>#REF!</v>
      </c>
      <c r="T25" s="541"/>
      <c r="U25" s="543" t="e">
        <f>IF(#REF!=0,FALSE,TRUE)</f>
        <v>#REF!</v>
      </c>
      <c r="V25" s="365"/>
      <c r="W25" s="365"/>
      <c r="X25" s="366"/>
      <c r="Y25" s="366"/>
      <c r="Z25" s="365"/>
      <c r="AA25" s="372"/>
      <c r="AB25" s="372"/>
      <c r="AC25" s="372"/>
      <c r="AG25" s="369"/>
      <c r="AH25" s="369"/>
    </row>
    <row r="26" spans="1:37" s="368" customFormat="1" ht="15" x14ac:dyDescent="0.2">
      <c r="A26" s="368" t="s">
        <v>458</v>
      </c>
      <c r="B26" s="540">
        <v>23</v>
      </c>
      <c r="C26" s="543" t="e">
        <f>IF(#REF!=0,FALSE,TRUE)</f>
        <v>#REF!</v>
      </c>
      <c r="D26" s="541"/>
      <c r="E26" s="543" t="e">
        <f>IF(#REF!=0,FALSE,TRUE)</f>
        <v>#REF!</v>
      </c>
      <c r="F26" s="541"/>
      <c r="G26" s="543" t="e">
        <f>IF(#REF!=0,FALSE,TRUE)</f>
        <v>#REF!</v>
      </c>
      <c r="H26" s="365"/>
      <c r="I26" s="540">
        <v>23</v>
      </c>
      <c r="J26" s="543" t="e">
        <f>IF(#REF!=0,FALSE,TRUE)</f>
        <v>#REF!</v>
      </c>
      <c r="K26" s="541"/>
      <c r="L26" s="543" t="e">
        <f>IF(#REF!=0,FALSE,TRUE)</f>
        <v>#REF!</v>
      </c>
      <c r="M26" s="541"/>
      <c r="N26" s="543" t="e">
        <f>IF(#REF!=0,FALSE,TRUE)</f>
        <v>#REF!</v>
      </c>
      <c r="O26" s="365"/>
      <c r="P26" s="540">
        <v>23</v>
      </c>
      <c r="Q26" s="543" t="e">
        <f>IF(#REF!=0,FALSE,TRUE)</f>
        <v>#REF!</v>
      </c>
      <c r="R26" s="541"/>
      <c r="S26" s="543" t="e">
        <f>IF(#REF!=0,FALSE,TRUE)</f>
        <v>#REF!</v>
      </c>
      <c r="T26" s="541"/>
      <c r="U26" s="543" t="e">
        <f>IF(#REF!=0,FALSE,TRUE)</f>
        <v>#REF!</v>
      </c>
      <c r="V26" s="365"/>
      <c r="W26" s="365"/>
      <c r="X26" s="366"/>
      <c r="Y26" s="366"/>
      <c r="Z26" s="365"/>
      <c r="AA26" s="372"/>
      <c r="AB26" s="372"/>
      <c r="AC26" s="372"/>
      <c r="AG26" s="369"/>
      <c r="AH26" s="369"/>
    </row>
    <row r="27" spans="1:37" s="368" customFormat="1" ht="15" x14ac:dyDescent="0.2">
      <c r="A27" s="368" t="s">
        <v>459</v>
      </c>
      <c r="B27" s="540">
        <v>24</v>
      </c>
      <c r="C27" s="543" t="e">
        <f>IF(#REF!=0,FALSE,TRUE)</f>
        <v>#REF!</v>
      </c>
      <c r="D27" s="541"/>
      <c r="E27" s="543" t="e">
        <f>IF(#REF!=0,FALSE,TRUE)</f>
        <v>#REF!</v>
      </c>
      <c r="F27" s="541"/>
      <c r="G27" s="543" t="e">
        <f>IF(#REF!=0,FALSE,TRUE)</f>
        <v>#REF!</v>
      </c>
      <c r="H27" s="365"/>
      <c r="I27" s="540">
        <v>24</v>
      </c>
      <c r="J27" s="543" t="e">
        <f>IF(#REF!=0,FALSE,TRUE)</f>
        <v>#REF!</v>
      </c>
      <c r="K27" s="541"/>
      <c r="L27" s="543" t="e">
        <f>IF(#REF!=0,FALSE,TRUE)</f>
        <v>#REF!</v>
      </c>
      <c r="M27" s="541"/>
      <c r="N27" s="543" t="e">
        <f>IF(#REF!=0,FALSE,TRUE)</f>
        <v>#REF!</v>
      </c>
      <c r="O27" s="365"/>
      <c r="P27" s="540">
        <v>24</v>
      </c>
      <c r="Q27" s="543" t="e">
        <f>IF(#REF!=0,FALSE,TRUE)</f>
        <v>#REF!</v>
      </c>
      <c r="R27" s="541"/>
      <c r="S27" s="543" t="e">
        <f>IF(#REF!=0,FALSE,TRUE)</f>
        <v>#REF!</v>
      </c>
      <c r="T27" s="541"/>
      <c r="U27" s="543" t="e">
        <f>IF(#REF!=0,FALSE,TRUE)</f>
        <v>#REF!</v>
      </c>
      <c r="V27" s="365"/>
      <c r="W27" s="365"/>
      <c r="X27" s="366"/>
      <c r="Y27" s="366"/>
      <c r="Z27" s="365"/>
      <c r="AA27" s="372"/>
      <c r="AB27" s="372"/>
      <c r="AC27" s="372"/>
      <c r="AG27" s="369"/>
      <c r="AH27" s="369"/>
    </row>
    <row r="28" spans="1:37" s="368" customFormat="1" ht="15" x14ac:dyDescent="0.2">
      <c r="B28" s="353"/>
      <c r="C28" s="353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353"/>
      <c r="AC28" s="353"/>
      <c r="AD28" s="353"/>
      <c r="AE28" s="353"/>
      <c r="AF28" s="353"/>
      <c r="AG28" s="354"/>
      <c r="AH28" s="354"/>
      <c r="AI28" s="353"/>
      <c r="AJ28" s="353"/>
      <c r="AK28" s="353"/>
    </row>
    <row r="30" spans="1:37" ht="25.5" x14ac:dyDescent="0.35">
      <c r="A30" s="535" t="s">
        <v>460</v>
      </c>
    </row>
    <row r="32" spans="1:37" x14ac:dyDescent="0.25">
      <c r="A32" s="538" t="s">
        <v>461</v>
      </c>
      <c r="B32" s="536" t="s">
        <v>21</v>
      </c>
      <c r="C32" s="536"/>
      <c r="D32" s="536">
        <v>3</v>
      </c>
    </row>
    <row r="33" spans="1:6" x14ac:dyDescent="0.25">
      <c r="A33" s="538" t="s">
        <v>462</v>
      </c>
      <c r="B33" s="536" t="s">
        <v>22</v>
      </c>
      <c r="C33" s="536"/>
      <c r="D33" s="536">
        <v>2</v>
      </c>
    </row>
    <row r="34" spans="1:6" x14ac:dyDescent="0.25">
      <c r="A34" s="538" t="s">
        <v>463</v>
      </c>
      <c r="B34" s="536" t="s">
        <v>32</v>
      </c>
      <c r="C34" s="536"/>
      <c r="D34" s="536" t="b">
        <v>0</v>
      </c>
    </row>
    <row r="35" spans="1:6" x14ac:dyDescent="0.25">
      <c r="A35" s="538" t="s">
        <v>464</v>
      </c>
      <c r="B35" s="536" t="s">
        <v>23</v>
      </c>
      <c r="C35" s="536"/>
      <c r="D35" s="536" t="b">
        <v>0</v>
      </c>
    </row>
    <row r="36" spans="1:6" x14ac:dyDescent="0.25">
      <c r="A36" s="538" t="s">
        <v>465</v>
      </c>
      <c r="B36" s="536" t="s">
        <v>33</v>
      </c>
      <c r="C36" s="536"/>
      <c r="D36" s="536" t="b">
        <v>0</v>
      </c>
    </row>
    <row r="37" spans="1:6" x14ac:dyDescent="0.25">
      <c r="A37" s="538" t="s">
        <v>466</v>
      </c>
      <c r="B37" s="536" t="s">
        <v>274</v>
      </c>
      <c r="C37" s="536"/>
      <c r="D37" s="536" t="b">
        <v>0</v>
      </c>
    </row>
    <row r="38" spans="1:6" ht="23.25" x14ac:dyDescent="0.25">
      <c r="A38" s="538" t="s">
        <v>467</v>
      </c>
      <c r="B38" s="536" t="s">
        <v>220</v>
      </c>
      <c r="C38" s="537"/>
      <c r="D38" s="536">
        <v>1</v>
      </c>
    </row>
    <row r="40" spans="1:6" ht="25.5" x14ac:dyDescent="0.35">
      <c r="A40" s="535" t="s">
        <v>468</v>
      </c>
    </row>
    <row r="42" spans="1:6" x14ac:dyDescent="0.25">
      <c r="A42" s="538" t="s">
        <v>458</v>
      </c>
      <c r="B42" s="536" t="s">
        <v>24</v>
      </c>
      <c r="C42" s="548"/>
      <c r="D42" s="536">
        <v>12</v>
      </c>
      <c r="E42" s="536">
        <v>13</v>
      </c>
      <c r="F42" s="536">
        <v>13</v>
      </c>
    </row>
    <row r="43" spans="1:6" x14ac:dyDescent="0.25">
      <c r="A43" s="538" t="s">
        <v>459</v>
      </c>
      <c r="B43" s="536" t="s">
        <v>54</v>
      </c>
      <c r="C43" s="549"/>
      <c r="D43" s="549">
        <f>INDEX(Tabella_caratteristiche_ghp,D42,2)</f>
        <v>20</v>
      </c>
      <c r="E43" s="549">
        <f>INDEX(Tabella_caratteristiche_ghp,E42,2)</f>
        <v>25</v>
      </c>
      <c r="F43" s="549">
        <f>INDEX(Tabella_caratteristiche_ghp,F42,2)</f>
        <v>25</v>
      </c>
    </row>
    <row r="44" spans="1:6" ht="23.25" x14ac:dyDescent="0.25">
      <c r="A44" s="538" t="s">
        <v>469</v>
      </c>
      <c r="B44" s="536"/>
      <c r="C44" s="537"/>
      <c r="D44" s="539"/>
      <c r="E44" s="537"/>
      <c r="F44" s="536"/>
    </row>
    <row r="45" spans="1:6" ht="23.25" x14ac:dyDescent="0.25">
      <c r="A45" s="538" t="s">
        <v>470</v>
      </c>
      <c r="B45" s="536"/>
      <c r="C45" s="536"/>
      <c r="D45" s="536"/>
      <c r="E45" s="537"/>
      <c r="F45" s="536"/>
    </row>
    <row r="46" spans="1:6" ht="23.25" x14ac:dyDescent="0.25">
      <c r="A46" s="538" t="s">
        <v>471</v>
      </c>
      <c r="B46" s="536" t="s">
        <v>283</v>
      </c>
      <c r="C46" s="548"/>
      <c r="D46" s="536" t="s">
        <v>432</v>
      </c>
      <c r="E46" s="537"/>
      <c r="F46" s="536"/>
    </row>
    <row r="47" spans="1:6" ht="23.25" x14ac:dyDescent="0.25">
      <c r="A47" s="538" t="s">
        <v>472</v>
      </c>
      <c r="B47" s="536"/>
      <c r="C47" s="548"/>
      <c r="D47" s="536" t="s">
        <v>284</v>
      </c>
      <c r="E47" s="537"/>
      <c r="F47" s="536"/>
    </row>
    <row r="48" spans="1:6" x14ac:dyDescent="0.25">
      <c r="A48" s="538" t="s">
        <v>473</v>
      </c>
      <c r="B48" s="536" t="s">
        <v>285</v>
      </c>
      <c r="C48" s="548"/>
      <c r="D48" s="536">
        <v>1</v>
      </c>
      <c r="E48" s="548">
        <v>2</v>
      </c>
      <c r="F48" s="536">
        <v>2</v>
      </c>
    </row>
    <row r="49" spans="1:20" ht="23.25" x14ac:dyDescent="0.25">
      <c r="A49" s="538" t="s">
        <v>474</v>
      </c>
      <c r="B49" s="536" t="s">
        <v>282</v>
      </c>
      <c r="C49" s="537"/>
      <c r="D49" s="536">
        <v>7</v>
      </c>
      <c r="E49" s="548">
        <v>7</v>
      </c>
      <c r="F49" s="536">
        <v>7</v>
      </c>
    </row>
    <row r="50" spans="1:20" x14ac:dyDescent="0.25">
      <c r="A50" s="538" t="s">
        <v>475</v>
      </c>
      <c r="B50" s="536" t="s">
        <v>54</v>
      </c>
      <c r="C50" s="549"/>
      <c r="D50" s="549">
        <f>INDEX('Rendimenti e consumi VRV'!B42:M48,D49,3)</f>
        <v>49.980000000000004</v>
      </c>
      <c r="E50" s="549">
        <f>INDEX('Rendimenti e consumi VRV'!B42:M48,E49,3)</f>
        <v>49.980000000000004</v>
      </c>
      <c r="F50" s="549">
        <f>INDEX('Rendimenti e consumi VRV'!B42:M48,F49,3)</f>
        <v>49.980000000000004</v>
      </c>
    </row>
    <row r="51" spans="1:20" ht="23.25" x14ac:dyDescent="0.25">
      <c r="A51" s="538" t="s">
        <v>476</v>
      </c>
      <c r="B51" s="536"/>
      <c r="C51" s="537"/>
      <c r="D51" s="549" t="e">
        <f>INDEX('Rendimenti e consumi VRV'!B42:M48,'3-Caratteristiche dei sistemi'!D51,1)</f>
        <v>#VALUE!</v>
      </c>
      <c r="E51" s="548" t="e">
        <f>INDEX('Rendimenti e consumi VRV'!B42:M48,'3-Caratteristiche dei sistemi'!E51,1)</f>
        <v>#VALUE!</v>
      </c>
      <c r="F51" s="536" t="e">
        <f>INDEX('Rendimenti e consumi VRV'!B42:M48,'3-Caratteristiche dei sistemi'!F51,1)</f>
        <v>#VALUE!</v>
      </c>
    </row>
    <row r="53" spans="1:20" ht="25.5" x14ac:dyDescent="0.35">
      <c r="A53" s="535" t="s">
        <v>477</v>
      </c>
    </row>
    <row r="54" spans="1:20" x14ac:dyDescent="0.25">
      <c r="B54" s="348"/>
      <c r="C54" s="384"/>
      <c r="D54" s="384"/>
      <c r="E54" s="384"/>
      <c r="F54" s="384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</row>
    <row r="55" spans="1:20" x14ac:dyDescent="0.25">
      <c r="B55" s="538" t="s">
        <v>206</v>
      </c>
      <c r="C55" s="538" t="s">
        <v>53</v>
      </c>
      <c r="D55" s="538" t="s">
        <v>206</v>
      </c>
      <c r="E55" s="538" t="s">
        <v>53</v>
      </c>
      <c r="G55" s="538" t="s">
        <v>214</v>
      </c>
      <c r="I55" s="538" t="s">
        <v>206</v>
      </c>
      <c r="J55" s="538" t="s">
        <v>53</v>
      </c>
      <c r="K55" s="538" t="s">
        <v>206</v>
      </c>
      <c r="L55" s="538" t="s">
        <v>53</v>
      </c>
      <c r="M55" s="348"/>
      <c r="N55" s="348"/>
      <c r="O55" s="348"/>
      <c r="P55" s="348"/>
      <c r="Q55" s="348"/>
      <c r="R55" s="348"/>
      <c r="S55" s="348"/>
      <c r="T55" s="348"/>
    </row>
    <row r="56" spans="1:20" x14ac:dyDescent="0.25">
      <c r="B56" s="450">
        <f>'3-Caratteristiche dei sistemi'!W19</f>
        <v>0</v>
      </c>
      <c r="C56" s="488">
        <f>'3-Caratteristiche dei sistemi'!W46</f>
        <v>0</v>
      </c>
      <c r="D56" s="488">
        <f>'3-Caratteristiche dei sistemi'!J19</f>
        <v>0</v>
      </c>
      <c r="E56" s="488">
        <f>'3-Caratteristiche dei sistemi'!J46</f>
        <v>0</v>
      </c>
      <c r="F56" s="384"/>
      <c r="G56" s="489">
        <f>'1-Ore funzionamento'!AA1</f>
        <v>0</v>
      </c>
      <c r="H56" s="348"/>
      <c r="I56" s="385">
        <f>B56*$F$75</f>
        <v>0</v>
      </c>
      <c r="J56" s="385">
        <f>C56*$F$75</f>
        <v>0</v>
      </c>
      <c r="K56" s="385">
        <f>D56*$F$75</f>
        <v>0</v>
      </c>
      <c r="L56" s="385">
        <f>E56*$F$75</f>
        <v>0</v>
      </c>
      <c r="M56" s="348"/>
      <c r="N56" s="348">
        <v>0.4</v>
      </c>
      <c r="O56" s="348" t="e">
        <f>IF('2-Dati generali-Cond. utilizzo'!D24=1,'Dati x formule'!#REF!,IF('2-Dati generali-Cond. utilizzo'!D24=2,'Dati x formule'!#REF!,'Dati x formule'!#REF!))</f>
        <v>#REF!</v>
      </c>
      <c r="P56" s="348"/>
      <c r="Q56" s="491" t="e">
        <f>I56/$M$75</f>
        <v>#DIV/0!</v>
      </c>
      <c r="R56" s="491" t="e">
        <f>J56/$N$75</f>
        <v>#DIV/0!</v>
      </c>
      <c r="S56" s="490" t="e">
        <f>K56/$M$75</f>
        <v>#DIV/0!</v>
      </c>
      <c r="T56" s="490">
        <f>L56*$N$75</f>
        <v>0</v>
      </c>
    </row>
    <row r="57" spans="1:20" x14ac:dyDescent="0.25">
      <c r="B57" s="450">
        <f>'3-Caratteristiche dei sistemi'!W32</f>
        <v>0</v>
      </c>
      <c r="C57" s="488">
        <f>'3-Caratteristiche dei sistemi'!W57</f>
        <v>0</v>
      </c>
      <c r="D57" s="488">
        <f>'3-Caratteristiche dei sistemi'!J32</f>
        <v>0</v>
      </c>
      <c r="E57" s="488">
        <f>'3-Caratteristiche dei sistemi'!J57</f>
        <v>0</v>
      </c>
      <c r="F57" s="384"/>
      <c r="G57" s="489">
        <f>'1-Ore funzionamento'!AD12</f>
        <v>0</v>
      </c>
      <c r="H57" s="348"/>
      <c r="I57" s="385">
        <f>B57*$F$76</f>
        <v>0</v>
      </c>
      <c r="J57" s="385">
        <f>C57*$F$76</f>
        <v>0</v>
      </c>
      <c r="K57" s="385">
        <f>D57*$F$76</f>
        <v>0</v>
      </c>
      <c r="L57" s="385">
        <f>E57*$F$76</f>
        <v>0</v>
      </c>
      <c r="M57" s="348"/>
      <c r="N57" s="348"/>
      <c r="O57" s="348"/>
      <c r="P57" s="348"/>
      <c r="Q57" s="491" t="e">
        <f>I57/$M$75</f>
        <v>#DIV/0!</v>
      </c>
      <c r="R57" s="491" t="e">
        <f>J57/$N$75</f>
        <v>#DIV/0!</v>
      </c>
      <c r="S57" s="490" t="e">
        <f>K57/$M$75</f>
        <v>#DIV/0!</v>
      </c>
      <c r="T57" s="490">
        <f>L57*$N$75</f>
        <v>0</v>
      </c>
    </row>
    <row r="58" spans="1:20" x14ac:dyDescent="0.25">
      <c r="B58" s="348"/>
      <c r="C58" s="384"/>
      <c r="D58" s="384"/>
      <c r="E58" s="384"/>
      <c r="F58" s="384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</row>
    <row r="59" spans="1:20" x14ac:dyDescent="0.25">
      <c r="B59" s="348"/>
      <c r="C59" s="384"/>
      <c r="D59" s="384"/>
      <c r="E59" s="384"/>
      <c r="F59" s="384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491" t="e">
        <f>Q56+R56+Q57+R57</f>
        <v>#DIV/0!</v>
      </c>
      <c r="S59" s="348"/>
      <c r="T59" s="490" t="e">
        <f>S56+T56+S57+T57</f>
        <v>#DIV/0!</v>
      </c>
    </row>
    <row r="60" spans="1:20" x14ac:dyDescent="0.25">
      <c r="B60" s="348"/>
      <c r="C60" s="384"/>
      <c r="D60" s="384"/>
      <c r="E60" s="384"/>
      <c r="F60" s="384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</row>
    <row r="61" spans="1:20" x14ac:dyDescent="0.25">
      <c r="B61" s="348"/>
      <c r="C61" s="384"/>
      <c r="D61" s="384"/>
      <c r="E61" s="384"/>
      <c r="F61" s="384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492" t="e">
        <f>R59-T59</f>
        <v>#DIV/0!</v>
      </c>
    </row>
  </sheetData>
  <phoneticPr fontId="7" type="noConversion"/>
  <pageMargins left="0.70866141732283472" right="0.70866141732283472" top="0.74803149606299213" bottom="0.74803149606299213" header="0.31496062992125984" footer="0.31496062992125984"/>
  <pageSetup paperSize="9" scale="48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pageSetUpPr fitToPage="1"/>
  </sheetPr>
  <dimension ref="A1:AN521"/>
  <sheetViews>
    <sheetView tabSelected="1" zoomScale="70" zoomScaleNormal="70" workbookViewId="0">
      <selection sqref="A1:AN1"/>
    </sheetView>
  </sheetViews>
  <sheetFormatPr defaultRowHeight="15" x14ac:dyDescent="0.2"/>
  <cols>
    <col min="1" max="1" width="10.125" style="373" bestFit="1" customWidth="1"/>
    <col min="2" max="2" width="7.25" style="373" customWidth="1"/>
    <col min="3" max="3" width="10.125" style="373" bestFit="1" customWidth="1"/>
    <col min="4" max="4" width="7.25" style="373" customWidth="1"/>
    <col min="5" max="5" width="10.125" style="373" bestFit="1" customWidth="1"/>
    <col min="6" max="6" width="7.25" style="373" customWidth="1"/>
    <col min="7" max="7" width="3.5" style="373" customWidth="1"/>
    <col min="8" max="8" width="10.125" style="373" hidden="1" customWidth="1"/>
    <col min="9" max="9" width="7.25" style="373" hidden="1" customWidth="1"/>
    <col min="10" max="10" width="10.125" style="373" hidden="1" customWidth="1"/>
    <col min="11" max="11" width="7.25" style="373" hidden="1" customWidth="1"/>
    <col min="12" max="12" width="10.125" style="373" hidden="1" customWidth="1"/>
    <col min="13" max="13" width="7.25" style="373" hidden="1" customWidth="1"/>
    <col min="14" max="14" width="3.5" style="373" hidden="1" customWidth="1"/>
    <col min="15" max="15" width="10.125" style="373" customWidth="1"/>
    <col min="16" max="16" width="7.25" style="373" customWidth="1"/>
    <col min="17" max="17" width="10.125" style="373" customWidth="1"/>
    <col min="18" max="18" width="7.25" style="373" customWidth="1"/>
    <col min="19" max="19" width="10.125" style="373" customWidth="1"/>
    <col min="20" max="20" width="7.25" style="373" customWidth="1"/>
    <col min="21" max="21" width="3.5" style="373" customWidth="1"/>
    <col min="22" max="22" width="15.375" style="373" bestFit="1" customWidth="1"/>
    <col min="23" max="23" width="10.75" style="373" customWidth="1"/>
    <col min="24" max="24" width="8.5" style="373" bestFit="1" customWidth="1"/>
    <col min="25" max="25" width="7.375" style="373" customWidth="1"/>
    <col min="26" max="26" width="8" style="373" customWidth="1"/>
    <col min="27" max="27" width="8.5" style="373" bestFit="1" customWidth="1"/>
    <col min="28" max="28" width="7.125" style="373" customWidth="1"/>
    <col min="29" max="29" width="6.625" style="373" customWidth="1"/>
    <col min="30" max="30" width="3.5" style="373" customWidth="1"/>
    <col min="31" max="31" width="8.375" style="373" customWidth="1"/>
    <col min="32" max="32" width="11.25" style="374" hidden="1" customWidth="1"/>
    <col min="33" max="33" width="11.25" style="374" customWidth="1"/>
    <col min="34" max="34" width="1.625" style="373" customWidth="1"/>
    <col min="35" max="35" width="15.75" style="373" bestFit="1" customWidth="1"/>
    <col min="36" max="39" width="9" style="368"/>
    <col min="40" max="40" width="10.375" style="368" customWidth="1"/>
    <col min="41" max="16384" width="9" style="368"/>
  </cols>
  <sheetData>
    <row r="1" spans="1:40" ht="22.5" customHeight="1" x14ac:dyDescent="0.25">
      <c r="A1" s="1231" t="s">
        <v>669</v>
      </c>
      <c r="B1" s="1232"/>
      <c r="C1" s="1232"/>
      <c r="D1" s="1232"/>
      <c r="E1" s="1232"/>
      <c r="F1" s="1232"/>
      <c r="G1" s="1232"/>
      <c r="H1" s="1232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2"/>
      <c r="AA1" s="1232"/>
      <c r="AB1" s="1232"/>
      <c r="AC1" s="1232"/>
      <c r="AD1" s="1232"/>
      <c r="AE1" s="1232"/>
      <c r="AF1" s="1232"/>
      <c r="AG1" s="1232"/>
      <c r="AH1" s="1232"/>
      <c r="AI1" s="1232"/>
      <c r="AJ1" s="1233"/>
      <c r="AK1" s="1233"/>
      <c r="AL1" s="1233"/>
      <c r="AM1" s="1233"/>
      <c r="AN1" s="1233"/>
    </row>
    <row r="2" spans="1:40" ht="6" customHeight="1" thickBot="1" x14ac:dyDescent="0.3">
      <c r="A2" s="675"/>
      <c r="B2" s="676"/>
      <c r="C2" s="676"/>
      <c r="D2" s="676"/>
      <c r="E2" s="676"/>
      <c r="F2" s="676"/>
      <c r="G2" s="676"/>
      <c r="H2" s="675"/>
      <c r="I2" s="676"/>
      <c r="J2" s="676"/>
      <c r="K2" s="676"/>
      <c r="L2" s="676"/>
      <c r="M2" s="676"/>
      <c r="N2" s="676"/>
      <c r="O2" s="675"/>
      <c r="P2" s="676"/>
      <c r="Q2" s="676"/>
      <c r="R2" s="676"/>
      <c r="S2" s="676"/>
      <c r="T2" s="676"/>
      <c r="U2" s="676"/>
      <c r="V2" s="676"/>
      <c r="W2" s="677"/>
      <c r="X2" s="677"/>
      <c r="Y2" s="676"/>
      <c r="Z2" s="676"/>
      <c r="AA2" s="676"/>
      <c r="AB2" s="676"/>
      <c r="AC2" s="677"/>
      <c r="AD2" s="677"/>
      <c r="AE2" s="677"/>
      <c r="AF2" s="678"/>
      <c r="AG2" s="678"/>
      <c r="AH2" s="677"/>
      <c r="AI2" s="677"/>
      <c r="AJ2" s="679"/>
      <c r="AK2" s="679"/>
      <c r="AL2" s="679"/>
      <c r="AM2" s="679"/>
      <c r="AN2" s="679"/>
    </row>
    <row r="3" spans="1:40" ht="24.95" customHeight="1" thickBot="1" x14ac:dyDescent="0.3">
      <c r="A3" s="1246" t="s">
        <v>594</v>
      </c>
      <c r="B3" s="1247"/>
      <c r="C3" s="1247"/>
      <c r="D3" s="1247"/>
      <c r="E3" s="1247"/>
      <c r="F3" s="1248"/>
      <c r="G3" s="676"/>
      <c r="H3" s="1246" t="s">
        <v>433</v>
      </c>
      <c r="I3" s="1247"/>
      <c r="J3" s="1247"/>
      <c r="K3" s="1247"/>
      <c r="L3" s="1247"/>
      <c r="M3" s="1248"/>
      <c r="N3" s="676"/>
      <c r="O3" s="1246" t="s">
        <v>593</v>
      </c>
      <c r="P3" s="1247"/>
      <c r="Q3" s="1247"/>
      <c r="R3" s="1247"/>
      <c r="S3" s="1247"/>
      <c r="T3" s="1248"/>
      <c r="U3" s="676"/>
      <c r="V3" s="676"/>
      <c r="W3" s="677"/>
      <c r="X3" s="677"/>
      <c r="Y3" s="676"/>
      <c r="Z3" s="676"/>
      <c r="AA3" s="676"/>
      <c r="AB3" s="676"/>
      <c r="AC3" s="677"/>
      <c r="AD3" s="677"/>
      <c r="AE3" s="677"/>
      <c r="AF3" s="678"/>
      <c r="AG3" s="678"/>
      <c r="AH3" s="677"/>
      <c r="AI3" s="677"/>
      <c r="AJ3" s="679"/>
      <c r="AK3" s="679"/>
      <c r="AL3" s="679"/>
      <c r="AM3" s="679"/>
      <c r="AN3" s="679"/>
    </row>
    <row r="4" spans="1:40" ht="6" customHeight="1" thickBot="1" x14ac:dyDescent="0.3">
      <c r="A4" s="675"/>
      <c r="B4" s="676"/>
      <c r="C4" s="676"/>
      <c r="D4" s="676"/>
      <c r="E4" s="676"/>
      <c r="F4" s="676"/>
      <c r="G4" s="676"/>
      <c r="H4" s="675"/>
      <c r="I4" s="676"/>
      <c r="J4" s="676"/>
      <c r="K4" s="676"/>
      <c r="L4" s="676"/>
      <c r="M4" s="676"/>
      <c r="N4" s="676"/>
      <c r="O4" s="675"/>
      <c r="P4" s="676"/>
      <c r="Q4" s="676"/>
      <c r="R4" s="676"/>
      <c r="S4" s="676"/>
      <c r="T4" s="676"/>
      <c r="U4" s="676"/>
      <c r="V4" s="676"/>
      <c r="W4" s="677"/>
      <c r="X4" s="677"/>
      <c r="Y4" s="676"/>
      <c r="Z4" s="676"/>
      <c r="AA4" s="676"/>
      <c r="AB4" s="676"/>
      <c r="AC4" s="677"/>
      <c r="AD4" s="677"/>
      <c r="AE4" s="677"/>
      <c r="AF4" s="678"/>
      <c r="AG4" s="678"/>
      <c r="AH4" s="677"/>
      <c r="AI4" s="677"/>
      <c r="AJ4" s="679"/>
      <c r="AK4" s="679"/>
      <c r="AL4" s="679"/>
      <c r="AM4" s="679"/>
      <c r="AN4" s="679"/>
    </row>
    <row r="5" spans="1:40" s="369" customFormat="1" ht="63.75" customHeight="1" thickBot="1" x14ac:dyDescent="0.3">
      <c r="A5" s="680" t="s">
        <v>489</v>
      </c>
      <c r="B5" s="681" t="s">
        <v>490</v>
      </c>
      <c r="C5" s="682" t="s">
        <v>489</v>
      </c>
      <c r="D5" s="682" t="s">
        <v>491</v>
      </c>
      <c r="E5" s="682" t="s">
        <v>489</v>
      </c>
      <c r="F5" s="683" t="s">
        <v>492</v>
      </c>
      <c r="G5" s="678"/>
      <c r="H5" s="684" t="s">
        <v>391</v>
      </c>
      <c r="I5" s="685" t="s">
        <v>392</v>
      </c>
      <c r="J5" s="686" t="s">
        <v>391</v>
      </c>
      <c r="K5" s="685" t="s">
        <v>393</v>
      </c>
      <c r="L5" s="686" t="s">
        <v>391</v>
      </c>
      <c r="M5" s="687" t="s">
        <v>394</v>
      </c>
      <c r="N5" s="678"/>
      <c r="O5" s="680" t="s">
        <v>489</v>
      </c>
      <c r="P5" s="681" t="s">
        <v>490</v>
      </c>
      <c r="Q5" s="682" t="s">
        <v>489</v>
      </c>
      <c r="R5" s="682" t="s">
        <v>491</v>
      </c>
      <c r="S5" s="682" t="s">
        <v>489</v>
      </c>
      <c r="T5" s="683" t="s">
        <v>492</v>
      </c>
      <c r="U5" s="678"/>
      <c r="V5" s="688" t="s">
        <v>510</v>
      </c>
      <c r="W5" s="689" t="s">
        <v>511</v>
      </c>
      <c r="X5" s="1249" t="s">
        <v>512</v>
      </c>
      <c r="Y5" s="1250"/>
      <c r="Z5" s="1251"/>
      <c r="AA5" s="1249" t="s">
        <v>513</v>
      </c>
      <c r="AB5" s="1250"/>
      <c r="AC5" s="1251"/>
      <c r="AD5" s="678"/>
      <c r="AE5" s="690" t="s">
        <v>516</v>
      </c>
      <c r="AF5" s="681" t="s">
        <v>351</v>
      </c>
      <c r="AG5" s="683" t="s">
        <v>351</v>
      </c>
      <c r="AH5" s="678"/>
      <c r="AI5" s="691" t="s">
        <v>517</v>
      </c>
      <c r="AJ5" s="678"/>
      <c r="AK5" s="1243" t="s">
        <v>518</v>
      </c>
      <c r="AL5" s="1244"/>
      <c r="AM5" s="1244"/>
      <c r="AN5" s="1245"/>
    </row>
    <row r="6" spans="1:40" s="354" customFormat="1" ht="30" customHeight="1" thickBot="1" x14ac:dyDescent="0.3">
      <c r="A6" s="692"/>
      <c r="B6" s="693"/>
      <c r="C6" s="692"/>
      <c r="D6" s="692"/>
      <c r="E6" s="692"/>
      <c r="F6" s="692"/>
      <c r="G6" s="678"/>
      <c r="H6" s="692"/>
      <c r="I6" s="693"/>
      <c r="J6" s="692"/>
      <c r="K6" s="692"/>
      <c r="L6" s="692"/>
      <c r="M6" s="692"/>
      <c r="N6" s="678"/>
      <c r="O6" s="692"/>
      <c r="P6" s="693"/>
      <c r="Q6" s="692"/>
      <c r="R6" s="692"/>
      <c r="S6" s="692"/>
      <c r="T6" s="692"/>
      <c r="U6" s="678"/>
      <c r="V6" s="692"/>
      <c r="W6" s="693"/>
      <c r="X6" s="690" t="s">
        <v>514</v>
      </c>
      <c r="Y6" s="681" t="s">
        <v>112</v>
      </c>
      <c r="Z6" s="683" t="s">
        <v>515</v>
      </c>
      <c r="AA6" s="690" t="s">
        <v>514</v>
      </c>
      <c r="AB6" s="681" t="s">
        <v>112</v>
      </c>
      <c r="AC6" s="683" t="s">
        <v>515</v>
      </c>
      <c r="AD6" s="678"/>
      <c r="AE6" s="694"/>
      <c r="AF6" s="695"/>
      <c r="AG6" s="695"/>
      <c r="AH6" s="678"/>
      <c r="AI6" s="678"/>
      <c r="AJ6" s="678"/>
      <c r="AK6" s="1234" t="s">
        <v>519</v>
      </c>
      <c r="AL6" s="1235"/>
      <c r="AM6" s="1235"/>
      <c r="AN6" s="1236"/>
    </row>
    <row r="7" spans="1:40" ht="18" customHeight="1" thickBot="1" x14ac:dyDescent="0.3">
      <c r="A7" s="696">
        <v>1</v>
      </c>
      <c r="B7" s="697"/>
      <c r="C7" s="696">
        <v>1</v>
      </c>
      <c r="D7" s="697"/>
      <c r="E7" s="696">
        <v>1</v>
      </c>
      <c r="F7" s="697"/>
      <c r="G7" s="677"/>
      <c r="H7" s="698">
        <v>1</v>
      </c>
      <c r="I7" s="699">
        <f>P7</f>
        <v>0</v>
      </c>
      <c r="J7" s="700">
        <v>1</v>
      </c>
      <c r="K7" s="699">
        <f>R7</f>
        <v>0</v>
      </c>
      <c r="L7" s="700">
        <v>1</v>
      </c>
      <c r="M7" s="701">
        <f>T7</f>
        <v>0</v>
      </c>
      <c r="N7" s="677"/>
      <c r="O7" s="696">
        <v>1</v>
      </c>
      <c r="P7" s="702"/>
      <c r="Q7" s="696">
        <v>1</v>
      </c>
      <c r="R7" s="702"/>
      <c r="S7" s="696">
        <v>1</v>
      </c>
      <c r="T7" s="703"/>
      <c r="U7" s="677"/>
      <c r="V7" s="704" t="s">
        <v>498</v>
      </c>
      <c r="W7" s="705">
        <v>31</v>
      </c>
      <c r="X7" s="1171"/>
      <c r="Y7" s="706">
        <f>IF(AND(X56=1,Y56=1),W7/2,IF(X56=1,W7,0))</f>
        <v>0</v>
      </c>
      <c r="Z7" s="707">
        <f>IF($X56=1,Y7/7*SUM($P$31*5,$R$31,$T$31),0)</f>
        <v>0</v>
      </c>
      <c r="AA7" s="1172"/>
      <c r="AB7" s="706">
        <f>IF(AND(X56=1,Y56=1),W7/2,IF(Y56=1,W7,0))</f>
        <v>0</v>
      </c>
      <c r="AC7" s="707">
        <f>IF($Y56=1,(AB7/7*SUM($B$31*5,$D$31,$F$31)),0)</f>
        <v>0</v>
      </c>
      <c r="AD7" s="677"/>
      <c r="AE7" s="708">
        <v>1</v>
      </c>
      <c r="AF7" s="709">
        <f>AG7/$AI$7</f>
        <v>4.2105263157894743E-2</v>
      </c>
      <c r="AG7" s="710">
        <v>0.04</v>
      </c>
      <c r="AH7" s="677"/>
      <c r="AI7" s="711">
        <v>0.95</v>
      </c>
      <c r="AJ7" s="677"/>
      <c r="AK7" s="1237"/>
      <c r="AL7" s="1238"/>
      <c r="AM7" s="1238"/>
      <c r="AN7" s="1239"/>
    </row>
    <row r="8" spans="1:40" ht="18" customHeight="1" thickBot="1" x14ac:dyDescent="0.3">
      <c r="A8" s="712">
        <v>2</v>
      </c>
      <c r="B8" s="713"/>
      <c r="C8" s="712">
        <v>2</v>
      </c>
      <c r="D8" s="713"/>
      <c r="E8" s="712">
        <v>2</v>
      </c>
      <c r="F8" s="713"/>
      <c r="G8" s="677"/>
      <c r="H8" s="714">
        <v>2</v>
      </c>
      <c r="I8" s="715">
        <f t="shared" ref="I8:M30" si="0">P8</f>
        <v>0</v>
      </c>
      <c r="J8" s="716">
        <v>2</v>
      </c>
      <c r="K8" s="715">
        <f t="shared" si="0"/>
        <v>0</v>
      </c>
      <c r="L8" s="716">
        <v>2</v>
      </c>
      <c r="M8" s="717">
        <f t="shared" si="0"/>
        <v>0</v>
      </c>
      <c r="N8" s="677"/>
      <c r="O8" s="712">
        <v>2</v>
      </c>
      <c r="P8" s="718"/>
      <c r="Q8" s="712">
        <v>2</v>
      </c>
      <c r="R8" s="718"/>
      <c r="S8" s="712">
        <v>2</v>
      </c>
      <c r="T8" s="719"/>
      <c r="U8" s="677"/>
      <c r="V8" s="720" t="s">
        <v>499</v>
      </c>
      <c r="W8" s="721">
        <v>28</v>
      </c>
      <c r="X8" s="1172"/>
      <c r="Y8" s="706">
        <f t="shared" ref="Y8:Y18" si="1">IF(AND(X57=1,Y57=1),W8/2,IF(X57=1,W8,0))</f>
        <v>0</v>
      </c>
      <c r="Z8" s="707">
        <f t="shared" ref="Z8:Z18" si="2">IF($X57=1,Y8/7*SUM($P$31*5,$R$31,$T$31),0)</f>
        <v>0</v>
      </c>
      <c r="AA8" s="1172"/>
      <c r="AB8" s="706">
        <f t="shared" ref="AB8:AB18" si="3">IF(AND(X57=1,Y57=1),W8/2,IF(Y57=1,W8,0))</f>
        <v>0</v>
      </c>
      <c r="AC8" s="707">
        <f t="shared" ref="AC8:AC18" si="4">IF($Y57=1,(AB8/7*SUM($B$31*5,$D$31,$F$31)),0)</f>
        <v>0</v>
      </c>
      <c r="AD8" s="677"/>
      <c r="AE8" s="722">
        <v>0.9</v>
      </c>
      <c r="AF8" s="723">
        <f t="shared" ref="AF8:AF14" si="5">AG8/$AI$7</f>
        <v>9.4736842105263161E-2</v>
      </c>
      <c r="AG8" s="724">
        <v>0.09</v>
      </c>
      <c r="AH8" s="677"/>
      <c r="AI8" s="677"/>
      <c r="AJ8" s="677"/>
      <c r="AK8" s="1240"/>
      <c r="AL8" s="1241"/>
      <c r="AM8" s="1241"/>
      <c r="AN8" s="1242"/>
    </row>
    <row r="9" spans="1:40" ht="18" customHeight="1" x14ac:dyDescent="0.25">
      <c r="A9" s="712">
        <v>3</v>
      </c>
      <c r="B9" s="713"/>
      <c r="C9" s="712">
        <v>3</v>
      </c>
      <c r="D9" s="713"/>
      <c r="E9" s="712">
        <v>3</v>
      </c>
      <c r="F9" s="713"/>
      <c r="G9" s="677"/>
      <c r="H9" s="714">
        <v>3</v>
      </c>
      <c r="I9" s="715">
        <f t="shared" si="0"/>
        <v>0</v>
      </c>
      <c r="J9" s="716">
        <v>3</v>
      </c>
      <c r="K9" s="715">
        <f t="shared" si="0"/>
        <v>0</v>
      </c>
      <c r="L9" s="716">
        <v>3</v>
      </c>
      <c r="M9" s="717">
        <f t="shared" si="0"/>
        <v>0</v>
      </c>
      <c r="N9" s="677"/>
      <c r="O9" s="712">
        <v>3</v>
      </c>
      <c r="P9" s="718"/>
      <c r="Q9" s="712">
        <v>3</v>
      </c>
      <c r="R9" s="718"/>
      <c r="S9" s="712">
        <v>3</v>
      </c>
      <c r="T9" s="719"/>
      <c r="U9" s="677"/>
      <c r="V9" s="720" t="s">
        <v>500</v>
      </c>
      <c r="W9" s="721">
        <v>31</v>
      </c>
      <c r="X9" s="1172"/>
      <c r="Y9" s="706">
        <f t="shared" si="1"/>
        <v>0</v>
      </c>
      <c r="Z9" s="707">
        <f t="shared" si="2"/>
        <v>0</v>
      </c>
      <c r="AA9" s="1172"/>
      <c r="AB9" s="706">
        <f t="shared" si="3"/>
        <v>0</v>
      </c>
      <c r="AC9" s="707">
        <f t="shared" si="4"/>
        <v>0</v>
      </c>
      <c r="AD9" s="677"/>
      <c r="AE9" s="722">
        <v>0.8</v>
      </c>
      <c r="AF9" s="723">
        <f t="shared" si="5"/>
        <v>0.15789473684210525</v>
      </c>
      <c r="AG9" s="724">
        <v>0.15</v>
      </c>
      <c r="AH9" s="677"/>
      <c r="AI9" s="677"/>
      <c r="AJ9" s="677"/>
      <c r="AK9" s="677"/>
      <c r="AL9" s="679"/>
      <c r="AM9" s="679"/>
      <c r="AN9" s="679"/>
    </row>
    <row r="10" spans="1:40" ht="18" customHeight="1" thickBot="1" x14ac:dyDescent="0.3">
      <c r="A10" s="712">
        <v>4</v>
      </c>
      <c r="B10" s="713"/>
      <c r="C10" s="712">
        <v>4</v>
      </c>
      <c r="D10" s="713"/>
      <c r="E10" s="712">
        <v>4</v>
      </c>
      <c r="F10" s="713"/>
      <c r="G10" s="677"/>
      <c r="H10" s="714">
        <v>4</v>
      </c>
      <c r="I10" s="715">
        <f t="shared" si="0"/>
        <v>0</v>
      </c>
      <c r="J10" s="716">
        <v>4</v>
      </c>
      <c r="K10" s="715">
        <f t="shared" si="0"/>
        <v>0</v>
      </c>
      <c r="L10" s="716">
        <v>4</v>
      </c>
      <c r="M10" s="717">
        <f t="shared" si="0"/>
        <v>0</v>
      </c>
      <c r="N10" s="677"/>
      <c r="O10" s="712">
        <v>4</v>
      </c>
      <c r="P10" s="718"/>
      <c r="Q10" s="712">
        <v>4</v>
      </c>
      <c r="R10" s="718"/>
      <c r="S10" s="712">
        <v>4</v>
      </c>
      <c r="T10" s="719"/>
      <c r="U10" s="677"/>
      <c r="V10" s="720" t="s">
        <v>501</v>
      </c>
      <c r="W10" s="721">
        <v>30</v>
      </c>
      <c r="X10" s="1172"/>
      <c r="Y10" s="706">
        <f t="shared" si="1"/>
        <v>0</v>
      </c>
      <c r="Z10" s="707">
        <f t="shared" si="2"/>
        <v>0</v>
      </c>
      <c r="AA10" s="1172"/>
      <c r="AB10" s="706">
        <f t="shared" si="3"/>
        <v>0</v>
      </c>
      <c r="AC10" s="707">
        <f t="shared" si="4"/>
        <v>0</v>
      </c>
      <c r="AD10" s="677"/>
      <c r="AE10" s="722">
        <v>0.7</v>
      </c>
      <c r="AF10" s="723">
        <f t="shared" si="5"/>
        <v>0.2</v>
      </c>
      <c r="AG10" s="724">
        <v>0.19</v>
      </c>
      <c r="AH10" s="677"/>
      <c r="AI10" s="677"/>
      <c r="AJ10" s="677"/>
      <c r="AK10" s="677"/>
      <c r="AL10" s="679"/>
      <c r="AM10" s="679"/>
      <c r="AN10" s="679"/>
    </row>
    <row r="11" spans="1:40" ht="18" customHeight="1" x14ac:dyDescent="0.25">
      <c r="A11" s="712">
        <v>5</v>
      </c>
      <c r="B11" s="713"/>
      <c r="C11" s="712">
        <v>5</v>
      </c>
      <c r="D11" s="713"/>
      <c r="E11" s="712">
        <v>5</v>
      </c>
      <c r="F11" s="713"/>
      <c r="G11" s="677"/>
      <c r="H11" s="714">
        <v>5</v>
      </c>
      <c r="I11" s="715">
        <f t="shared" si="0"/>
        <v>0</v>
      </c>
      <c r="J11" s="716">
        <v>5</v>
      </c>
      <c r="K11" s="715">
        <f t="shared" si="0"/>
        <v>0</v>
      </c>
      <c r="L11" s="716">
        <v>5</v>
      </c>
      <c r="M11" s="717">
        <f t="shared" si="0"/>
        <v>0</v>
      </c>
      <c r="N11" s="677"/>
      <c r="O11" s="712">
        <v>5</v>
      </c>
      <c r="P11" s="713"/>
      <c r="Q11" s="712">
        <v>5</v>
      </c>
      <c r="R11" s="713"/>
      <c r="S11" s="712">
        <v>5</v>
      </c>
      <c r="T11" s="713"/>
      <c r="U11" s="677"/>
      <c r="V11" s="720" t="s">
        <v>502</v>
      </c>
      <c r="W11" s="721">
        <v>31</v>
      </c>
      <c r="X11" s="1172"/>
      <c r="Y11" s="706">
        <f t="shared" si="1"/>
        <v>0</v>
      </c>
      <c r="Z11" s="707">
        <f t="shared" si="2"/>
        <v>0</v>
      </c>
      <c r="AA11" s="1172"/>
      <c r="AB11" s="706">
        <f t="shared" si="3"/>
        <v>0</v>
      </c>
      <c r="AC11" s="707">
        <f t="shared" si="4"/>
        <v>0</v>
      </c>
      <c r="AD11" s="677"/>
      <c r="AE11" s="722">
        <v>0.6</v>
      </c>
      <c r="AF11" s="723">
        <f t="shared" si="5"/>
        <v>0.22105263157894736</v>
      </c>
      <c r="AG11" s="724">
        <v>0.21</v>
      </c>
      <c r="AH11" s="677"/>
      <c r="AI11" s="677"/>
      <c r="AJ11" s="677"/>
      <c r="AK11" s="1215" t="s">
        <v>520</v>
      </c>
      <c r="AL11" s="1216"/>
      <c r="AM11" s="1216"/>
      <c r="AN11" s="1217"/>
    </row>
    <row r="12" spans="1:40" ht="18" customHeight="1" x14ac:dyDescent="0.25">
      <c r="A12" s="712">
        <v>6</v>
      </c>
      <c r="B12" s="713"/>
      <c r="C12" s="712">
        <v>6</v>
      </c>
      <c r="D12" s="713"/>
      <c r="E12" s="712">
        <v>6</v>
      </c>
      <c r="F12" s="713"/>
      <c r="G12" s="677"/>
      <c r="H12" s="714">
        <v>6</v>
      </c>
      <c r="I12" s="715">
        <f t="shared" si="0"/>
        <v>0</v>
      </c>
      <c r="J12" s="716">
        <v>6</v>
      </c>
      <c r="K12" s="715">
        <f t="shared" si="0"/>
        <v>0</v>
      </c>
      <c r="L12" s="716">
        <v>6</v>
      </c>
      <c r="M12" s="717">
        <f t="shared" si="0"/>
        <v>0</v>
      </c>
      <c r="N12" s="677"/>
      <c r="O12" s="712">
        <v>6</v>
      </c>
      <c r="P12" s="713"/>
      <c r="Q12" s="712">
        <v>6</v>
      </c>
      <c r="R12" s="713"/>
      <c r="S12" s="712">
        <v>6</v>
      </c>
      <c r="T12" s="713"/>
      <c r="U12" s="677"/>
      <c r="V12" s="720" t="s">
        <v>503</v>
      </c>
      <c r="W12" s="721">
        <v>30</v>
      </c>
      <c r="X12" s="1172"/>
      <c r="Y12" s="706">
        <f t="shared" si="1"/>
        <v>0</v>
      </c>
      <c r="Z12" s="707">
        <f t="shared" si="2"/>
        <v>0</v>
      </c>
      <c r="AA12" s="1172"/>
      <c r="AB12" s="706">
        <f t="shared" si="3"/>
        <v>0</v>
      </c>
      <c r="AC12" s="707">
        <f t="shared" si="4"/>
        <v>0</v>
      </c>
      <c r="AD12" s="677"/>
      <c r="AE12" s="722">
        <v>0.5</v>
      </c>
      <c r="AF12" s="723">
        <f t="shared" si="5"/>
        <v>0.2</v>
      </c>
      <c r="AG12" s="724">
        <v>0.19</v>
      </c>
      <c r="AH12" s="677"/>
      <c r="AI12" s="677"/>
      <c r="AJ12" s="677"/>
      <c r="AK12" s="1218"/>
      <c r="AL12" s="1219"/>
      <c r="AM12" s="1219"/>
      <c r="AN12" s="1220"/>
    </row>
    <row r="13" spans="1:40" ht="18" customHeight="1" x14ac:dyDescent="0.25">
      <c r="A13" s="712">
        <v>7</v>
      </c>
      <c r="B13" s="713"/>
      <c r="C13" s="712">
        <v>7</v>
      </c>
      <c r="D13" s="713"/>
      <c r="E13" s="712">
        <v>7</v>
      </c>
      <c r="F13" s="713"/>
      <c r="G13" s="677"/>
      <c r="H13" s="714">
        <v>7</v>
      </c>
      <c r="I13" s="715">
        <f t="shared" si="0"/>
        <v>0</v>
      </c>
      <c r="J13" s="716">
        <v>7</v>
      </c>
      <c r="K13" s="715">
        <f t="shared" si="0"/>
        <v>0</v>
      </c>
      <c r="L13" s="716">
        <v>7</v>
      </c>
      <c r="M13" s="717">
        <f t="shared" si="0"/>
        <v>0</v>
      </c>
      <c r="N13" s="677"/>
      <c r="O13" s="712">
        <v>7</v>
      </c>
      <c r="P13" s="713"/>
      <c r="Q13" s="712">
        <v>7</v>
      </c>
      <c r="R13" s="713"/>
      <c r="S13" s="712">
        <v>7</v>
      </c>
      <c r="T13" s="713"/>
      <c r="U13" s="677"/>
      <c r="V13" s="720" t="s">
        <v>504</v>
      </c>
      <c r="W13" s="721">
        <v>31</v>
      </c>
      <c r="X13" s="1172"/>
      <c r="Y13" s="706">
        <f t="shared" si="1"/>
        <v>0</v>
      </c>
      <c r="Z13" s="707">
        <f t="shared" si="2"/>
        <v>0</v>
      </c>
      <c r="AA13" s="1172"/>
      <c r="AB13" s="706">
        <f t="shared" si="3"/>
        <v>0</v>
      </c>
      <c r="AC13" s="707">
        <f t="shared" si="4"/>
        <v>0</v>
      </c>
      <c r="AD13" s="677"/>
      <c r="AE13" s="722">
        <v>0.4</v>
      </c>
      <c r="AF13" s="723">
        <f t="shared" si="5"/>
        <v>9.4736842105263161E-2</v>
      </c>
      <c r="AG13" s="724">
        <v>0.09</v>
      </c>
      <c r="AH13" s="677"/>
      <c r="AI13" s="677"/>
      <c r="AJ13" s="677"/>
      <c r="AK13" s="1218"/>
      <c r="AL13" s="1219"/>
      <c r="AM13" s="1219"/>
      <c r="AN13" s="1220"/>
    </row>
    <row r="14" spans="1:40" ht="18" customHeight="1" thickBot="1" x14ac:dyDescent="0.3">
      <c r="A14" s="725">
        <v>8</v>
      </c>
      <c r="B14" s="713"/>
      <c r="C14" s="712">
        <v>8</v>
      </c>
      <c r="D14" s="713"/>
      <c r="E14" s="712">
        <v>8</v>
      </c>
      <c r="F14" s="713"/>
      <c r="G14" s="677"/>
      <c r="H14" s="726">
        <v>8</v>
      </c>
      <c r="I14" s="715">
        <f t="shared" si="0"/>
        <v>0</v>
      </c>
      <c r="J14" s="716">
        <v>8</v>
      </c>
      <c r="K14" s="715">
        <f t="shared" si="0"/>
        <v>0</v>
      </c>
      <c r="L14" s="716">
        <v>8</v>
      </c>
      <c r="M14" s="717">
        <f t="shared" si="0"/>
        <v>0</v>
      </c>
      <c r="N14" s="677"/>
      <c r="O14" s="712">
        <v>8</v>
      </c>
      <c r="P14" s="713"/>
      <c r="Q14" s="712">
        <v>8</v>
      </c>
      <c r="R14" s="713"/>
      <c r="S14" s="712">
        <v>8</v>
      </c>
      <c r="T14" s="713"/>
      <c r="U14" s="677"/>
      <c r="V14" s="720" t="s">
        <v>505</v>
      </c>
      <c r="W14" s="721">
        <v>31</v>
      </c>
      <c r="X14" s="1172"/>
      <c r="Y14" s="706">
        <f t="shared" si="1"/>
        <v>0</v>
      </c>
      <c r="Z14" s="707">
        <f t="shared" si="2"/>
        <v>0</v>
      </c>
      <c r="AA14" s="1172"/>
      <c r="AB14" s="706">
        <f t="shared" si="3"/>
        <v>0</v>
      </c>
      <c r="AC14" s="707">
        <f t="shared" si="4"/>
        <v>0</v>
      </c>
      <c r="AD14" s="677"/>
      <c r="AE14" s="727">
        <v>0.3</v>
      </c>
      <c r="AF14" s="728">
        <f t="shared" si="5"/>
        <v>4.2105263157894743E-2</v>
      </c>
      <c r="AG14" s="729">
        <v>0.04</v>
      </c>
      <c r="AH14" s="677"/>
      <c r="AI14" s="677"/>
      <c r="AJ14" s="677"/>
      <c r="AK14" s="1218"/>
      <c r="AL14" s="1219"/>
      <c r="AM14" s="1219"/>
      <c r="AN14" s="1220"/>
    </row>
    <row r="15" spans="1:40" ht="18" customHeight="1" thickBot="1" x14ac:dyDescent="0.3">
      <c r="A15" s="712">
        <v>9</v>
      </c>
      <c r="B15" s="713"/>
      <c r="C15" s="712">
        <v>9</v>
      </c>
      <c r="D15" s="713"/>
      <c r="E15" s="712">
        <v>9</v>
      </c>
      <c r="F15" s="713"/>
      <c r="G15" s="677"/>
      <c r="H15" s="726">
        <v>9</v>
      </c>
      <c r="I15" s="715">
        <f t="shared" si="0"/>
        <v>0</v>
      </c>
      <c r="J15" s="716">
        <v>9</v>
      </c>
      <c r="K15" s="715">
        <f t="shared" si="0"/>
        <v>0</v>
      </c>
      <c r="L15" s="716">
        <v>9</v>
      </c>
      <c r="M15" s="717">
        <f t="shared" si="0"/>
        <v>0</v>
      </c>
      <c r="N15" s="677"/>
      <c r="O15" s="712">
        <v>9</v>
      </c>
      <c r="P15" s="713"/>
      <c r="Q15" s="712">
        <v>9</v>
      </c>
      <c r="R15" s="713"/>
      <c r="S15" s="712">
        <v>9</v>
      </c>
      <c r="T15" s="713"/>
      <c r="U15" s="677"/>
      <c r="V15" s="720" t="s">
        <v>506</v>
      </c>
      <c r="W15" s="721">
        <v>30</v>
      </c>
      <c r="X15" s="1172"/>
      <c r="Y15" s="706">
        <f t="shared" si="1"/>
        <v>0</v>
      </c>
      <c r="Z15" s="707">
        <f t="shared" si="2"/>
        <v>0</v>
      </c>
      <c r="AA15" s="1172"/>
      <c r="AB15" s="706">
        <f t="shared" si="3"/>
        <v>0</v>
      </c>
      <c r="AC15" s="707">
        <f t="shared" si="4"/>
        <v>0</v>
      </c>
      <c r="AD15" s="677"/>
      <c r="AE15" s="677"/>
      <c r="AF15" s="678"/>
      <c r="AG15" s="678"/>
      <c r="AH15" s="677"/>
      <c r="AI15" s="677"/>
      <c r="AJ15" s="677"/>
      <c r="AK15" s="1221"/>
      <c r="AL15" s="1222"/>
      <c r="AM15" s="1222"/>
      <c r="AN15" s="1223"/>
    </row>
    <row r="16" spans="1:40" ht="18" customHeight="1" thickBot="1" x14ac:dyDescent="0.3">
      <c r="A16" s="712">
        <v>10</v>
      </c>
      <c r="B16" s="713"/>
      <c r="C16" s="712">
        <v>10</v>
      </c>
      <c r="D16" s="713"/>
      <c r="E16" s="712">
        <v>10</v>
      </c>
      <c r="F16" s="713"/>
      <c r="G16" s="677"/>
      <c r="H16" s="726">
        <v>10</v>
      </c>
      <c r="I16" s="715">
        <f t="shared" si="0"/>
        <v>0</v>
      </c>
      <c r="J16" s="716">
        <v>10</v>
      </c>
      <c r="K16" s="715">
        <f t="shared" si="0"/>
        <v>0</v>
      </c>
      <c r="L16" s="716">
        <v>10</v>
      </c>
      <c r="M16" s="717">
        <f t="shared" si="0"/>
        <v>0</v>
      </c>
      <c r="N16" s="677"/>
      <c r="O16" s="712">
        <v>10</v>
      </c>
      <c r="P16" s="713"/>
      <c r="Q16" s="712">
        <v>10</v>
      </c>
      <c r="R16" s="713"/>
      <c r="S16" s="712">
        <v>10</v>
      </c>
      <c r="T16" s="713"/>
      <c r="U16" s="677"/>
      <c r="V16" s="720" t="s">
        <v>507</v>
      </c>
      <c r="W16" s="721">
        <v>31</v>
      </c>
      <c r="X16" s="1172"/>
      <c r="Y16" s="706">
        <f t="shared" si="1"/>
        <v>0</v>
      </c>
      <c r="Z16" s="707">
        <f t="shared" si="2"/>
        <v>0</v>
      </c>
      <c r="AA16" s="1172"/>
      <c r="AB16" s="706">
        <f t="shared" si="3"/>
        <v>0</v>
      </c>
      <c r="AC16" s="707">
        <f t="shared" si="4"/>
        <v>0</v>
      </c>
      <c r="AD16" s="677"/>
      <c r="AE16" s="730" t="s">
        <v>71</v>
      </c>
      <c r="AF16" s="731">
        <f>SUM(AF7:AF14)</f>
        <v>1.0526315789473684</v>
      </c>
      <c r="AG16" s="732">
        <f>SUM(AG7:AG14)</f>
        <v>1</v>
      </c>
      <c r="AH16" s="677"/>
      <c r="AI16" s="677"/>
      <c r="AJ16" s="677"/>
      <c r="AK16" s="1224"/>
      <c r="AL16" s="1225"/>
      <c r="AM16" s="1225"/>
      <c r="AN16" s="1226"/>
    </row>
    <row r="17" spans="1:40" ht="18" customHeight="1" x14ac:dyDescent="0.25">
      <c r="A17" s="712">
        <v>11</v>
      </c>
      <c r="B17" s="713"/>
      <c r="C17" s="712">
        <v>11</v>
      </c>
      <c r="D17" s="713"/>
      <c r="E17" s="712">
        <v>11</v>
      </c>
      <c r="F17" s="713"/>
      <c r="G17" s="677"/>
      <c r="H17" s="733">
        <v>11</v>
      </c>
      <c r="I17" s="715">
        <f t="shared" si="0"/>
        <v>0</v>
      </c>
      <c r="J17" s="716">
        <v>11</v>
      </c>
      <c r="K17" s="715">
        <f t="shared" si="0"/>
        <v>0</v>
      </c>
      <c r="L17" s="716">
        <v>11</v>
      </c>
      <c r="M17" s="717">
        <f t="shared" si="0"/>
        <v>0</v>
      </c>
      <c r="N17" s="677"/>
      <c r="O17" s="712">
        <v>11</v>
      </c>
      <c r="P17" s="713"/>
      <c r="Q17" s="712">
        <v>11</v>
      </c>
      <c r="R17" s="713"/>
      <c r="S17" s="712">
        <v>11</v>
      </c>
      <c r="T17" s="713"/>
      <c r="U17" s="677"/>
      <c r="V17" s="720" t="s">
        <v>508</v>
      </c>
      <c r="W17" s="721">
        <v>30</v>
      </c>
      <c r="X17" s="1172"/>
      <c r="Y17" s="706">
        <f t="shared" si="1"/>
        <v>0</v>
      </c>
      <c r="Z17" s="707">
        <f t="shared" si="2"/>
        <v>0</v>
      </c>
      <c r="AA17" s="1172"/>
      <c r="AB17" s="706">
        <f t="shared" si="3"/>
        <v>0</v>
      </c>
      <c r="AC17" s="707">
        <f t="shared" si="4"/>
        <v>0</v>
      </c>
      <c r="AD17" s="677"/>
      <c r="AE17" s="677"/>
      <c r="AF17" s="678"/>
      <c r="AG17" s="678"/>
      <c r="AH17" s="677"/>
      <c r="AI17" s="677"/>
      <c r="AJ17" s="677"/>
      <c r="AK17" s="677"/>
      <c r="AL17" s="679"/>
      <c r="AM17" s="679"/>
      <c r="AN17" s="679"/>
    </row>
    <row r="18" spans="1:40" ht="18" customHeight="1" thickBot="1" x14ac:dyDescent="0.3">
      <c r="A18" s="712">
        <v>12</v>
      </c>
      <c r="B18" s="713"/>
      <c r="C18" s="712">
        <v>12</v>
      </c>
      <c r="D18" s="713"/>
      <c r="E18" s="712">
        <v>12</v>
      </c>
      <c r="F18" s="713"/>
      <c r="G18" s="677"/>
      <c r="H18" s="733">
        <v>12</v>
      </c>
      <c r="I18" s="715">
        <f t="shared" si="0"/>
        <v>0</v>
      </c>
      <c r="J18" s="716">
        <v>12</v>
      </c>
      <c r="K18" s="715">
        <f t="shared" si="0"/>
        <v>0</v>
      </c>
      <c r="L18" s="716">
        <v>12</v>
      </c>
      <c r="M18" s="717">
        <f t="shared" si="0"/>
        <v>0</v>
      </c>
      <c r="N18" s="677"/>
      <c r="O18" s="712">
        <v>12</v>
      </c>
      <c r="P18" s="713"/>
      <c r="Q18" s="712">
        <v>12</v>
      </c>
      <c r="R18" s="713"/>
      <c r="S18" s="712">
        <v>12</v>
      </c>
      <c r="T18" s="713"/>
      <c r="U18" s="677"/>
      <c r="V18" s="734" t="s">
        <v>509</v>
      </c>
      <c r="W18" s="735">
        <v>31</v>
      </c>
      <c r="X18" s="1173"/>
      <c r="Y18" s="736">
        <f t="shared" si="1"/>
        <v>0</v>
      </c>
      <c r="Z18" s="737">
        <f t="shared" si="2"/>
        <v>0</v>
      </c>
      <c r="AA18" s="1173"/>
      <c r="AB18" s="736">
        <f t="shared" si="3"/>
        <v>0</v>
      </c>
      <c r="AC18" s="737">
        <f t="shared" si="4"/>
        <v>0</v>
      </c>
      <c r="AD18" s="677"/>
      <c r="AE18" s="677"/>
      <c r="AF18" s="678"/>
      <c r="AG18" s="678"/>
      <c r="AH18" s="677"/>
      <c r="AI18" s="677"/>
      <c r="AJ18" s="677"/>
      <c r="AK18" s="677"/>
      <c r="AL18" s="679"/>
      <c r="AM18" s="679"/>
      <c r="AN18" s="679"/>
    </row>
    <row r="19" spans="1:40" ht="18" customHeight="1" x14ac:dyDescent="0.25">
      <c r="A19" s="712">
        <v>13</v>
      </c>
      <c r="B19" s="713"/>
      <c r="C19" s="712">
        <v>13</v>
      </c>
      <c r="D19" s="713"/>
      <c r="E19" s="712">
        <v>13</v>
      </c>
      <c r="F19" s="713"/>
      <c r="G19" s="677"/>
      <c r="H19" s="733">
        <v>13</v>
      </c>
      <c r="I19" s="715">
        <f t="shared" si="0"/>
        <v>0</v>
      </c>
      <c r="J19" s="716">
        <v>13</v>
      </c>
      <c r="K19" s="715">
        <f t="shared" si="0"/>
        <v>0</v>
      </c>
      <c r="L19" s="716">
        <v>13</v>
      </c>
      <c r="M19" s="717">
        <f t="shared" si="0"/>
        <v>0</v>
      </c>
      <c r="N19" s="677"/>
      <c r="O19" s="712">
        <v>13</v>
      </c>
      <c r="P19" s="713"/>
      <c r="Q19" s="712">
        <v>13</v>
      </c>
      <c r="R19" s="713"/>
      <c r="S19" s="712">
        <v>13</v>
      </c>
      <c r="T19" s="713"/>
      <c r="U19" s="677"/>
      <c r="V19" s="738"/>
      <c r="W19" s="677"/>
      <c r="X19" s="677"/>
      <c r="Y19" s="738"/>
      <c r="Z19" s="738"/>
      <c r="AA19" s="738"/>
      <c r="AB19" s="738"/>
      <c r="AC19" s="677"/>
      <c r="AD19" s="677"/>
      <c r="AE19" s="677"/>
      <c r="AF19" s="678"/>
      <c r="AG19" s="678"/>
      <c r="AH19" s="677"/>
      <c r="AI19" s="677"/>
      <c r="AJ19" s="677"/>
      <c r="AK19" s="677"/>
      <c r="AL19" s="679"/>
      <c r="AM19" s="679"/>
      <c r="AN19" s="679"/>
    </row>
    <row r="20" spans="1:40" ht="18" customHeight="1" thickBot="1" x14ac:dyDescent="0.3">
      <c r="A20" s="712">
        <v>14</v>
      </c>
      <c r="B20" s="713"/>
      <c r="C20" s="712">
        <v>14</v>
      </c>
      <c r="D20" s="713"/>
      <c r="E20" s="712">
        <v>14</v>
      </c>
      <c r="F20" s="713"/>
      <c r="G20" s="677"/>
      <c r="H20" s="733">
        <v>14</v>
      </c>
      <c r="I20" s="715">
        <f t="shared" si="0"/>
        <v>0</v>
      </c>
      <c r="J20" s="716">
        <v>14</v>
      </c>
      <c r="K20" s="715">
        <f t="shared" si="0"/>
        <v>0</v>
      </c>
      <c r="L20" s="716">
        <v>14</v>
      </c>
      <c r="M20" s="717">
        <f t="shared" si="0"/>
        <v>0</v>
      </c>
      <c r="N20" s="677"/>
      <c r="O20" s="712">
        <v>14</v>
      </c>
      <c r="P20" s="713"/>
      <c r="Q20" s="712">
        <v>14</v>
      </c>
      <c r="R20" s="713"/>
      <c r="S20" s="712">
        <v>14</v>
      </c>
      <c r="T20" s="713"/>
      <c r="U20" s="677"/>
      <c r="V20" s="739"/>
      <c r="W20" s="739"/>
      <c r="X20" s="739"/>
      <c r="Y20" s="739"/>
      <c r="Z20" s="739"/>
      <c r="AA20" s="739"/>
      <c r="AB20" s="739"/>
      <c r="AC20" s="739"/>
      <c r="AD20" s="677"/>
      <c r="AE20" s="679"/>
      <c r="AF20" s="740"/>
      <c r="AG20" s="741" t="s">
        <v>382</v>
      </c>
      <c r="AH20" s="741"/>
      <c r="AI20" s="677"/>
      <c r="AJ20" s="677"/>
      <c r="AK20" s="677"/>
      <c r="AL20" s="679"/>
      <c r="AM20" s="679"/>
      <c r="AN20" s="679"/>
    </row>
    <row r="21" spans="1:40" ht="18" customHeight="1" thickBot="1" x14ac:dyDescent="0.3">
      <c r="A21" s="712">
        <v>15</v>
      </c>
      <c r="B21" s="713"/>
      <c r="C21" s="712">
        <v>15</v>
      </c>
      <c r="D21" s="713"/>
      <c r="E21" s="712">
        <v>15</v>
      </c>
      <c r="F21" s="713"/>
      <c r="G21" s="677"/>
      <c r="H21" s="733">
        <v>15</v>
      </c>
      <c r="I21" s="715">
        <f t="shared" si="0"/>
        <v>0</v>
      </c>
      <c r="J21" s="716">
        <v>15</v>
      </c>
      <c r="K21" s="715">
        <f t="shared" si="0"/>
        <v>0</v>
      </c>
      <c r="L21" s="716">
        <v>15</v>
      </c>
      <c r="M21" s="717">
        <f t="shared" si="0"/>
        <v>0</v>
      </c>
      <c r="N21" s="677"/>
      <c r="O21" s="712">
        <v>15</v>
      </c>
      <c r="P21" s="713"/>
      <c r="Q21" s="712">
        <v>15</v>
      </c>
      <c r="R21" s="713"/>
      <c r="S21" s="712">
        <v>15</v>
      </c>
      <c r="T21" s="713"/>
      <c r="U21" s="677"/>
      <c r="V21" s="680" t="s">
        <v>496</v>
      </c>
      <c r="W21" s="742"/>
      <c r="X21" s="743">
        <f>X80</f>
        <v>0</v>
      </c>
      <c r="Y21" s="743">
        <f>Y80</f>
        <v>0</v>
      </c>
      <c r="Z21" s="744">
        <f>Z80</f>
        <v>0</v>
      </c>
      <c r="AA21" s="739"/>
      <c r="AB21" s="739"/>
      <c r="AC21" s="739"/>
      <c r="AD21" s="677"/>
      <c r="AE21" s="679"/>
      <c r="AF21" s="740"/>
      <c r="AG21" s="745">
        <f t="shared" ref="AG21:AH28" si="6">AE7</f>
        <v>1</v>
      </c>
      <c r="AH21" s="746">
        <f t="shared" si="6"/>
        <v>4.2105263157894743E-2</v>
      </c>
      <c r="AI21" s="746">
        <f>AF7</f>
        <v>4.2105263157894743E-2</v>
      </c>
      <c r="AJ21" s="677"/>
      <c r="AK21" s="677"/>
      <c r="AL21" s="679"/>
      <c r="AM21" s="679"/>
      <c r="AN21" s="679"/>
    </row>
    <row r="22" spans="1:40" ht="18" customHeight="1" thickBot="1" x14ac:dyDescent="0.3">
      <c r="A22" s="725">
        <v>16</v>
      </c>
      <c r="B22" s="713"/>
      <c r="C22" s="712">
        <v>16</v>
      </c>
      <c r="D22" s="713"/>
      <c r="E22" s="712">
        <v>16</v>
      </c>
      <c r="F22" s="713"/>
      <c r="G22" s="677"/>
      <c r="H22" s="733">
        <v>16</v>
      </c>
      <c r="I22" s="715">
        <f t="shared" si="0"/>
        <v>0</v>
      </c>
      <c r="J22" s="716">
        <v>16</v>
      </c>
      <c r="K22" s="715">
        <f t="shared" si="0"/>
        <v>0</v>
      </c>
      <c r="L22" s="716">
        <v>16</v>
      </c>
      <c r="M22" s="717">
        <f t="shared" si="0"/>
        <v>0</v>
      </c>
      <c r="N22" s="677"/>
      <c r="O22" s="712">
        <v>16</v>
      </c>
      <c r="P22" s="713"/>
      <c r="Q22" s="712">
        <v>16</v>
      </c>
      <c r="R22" s="713"/>
      <c r="S22" s="712">
        <v>16</v>
      </c>
      <c r="T22" s="713"/>
      <c r="U22" s="677"/>
      <c r="V22" s="747"/>
      <c r="W22" s="739"/>
      <c r="X22" s="739"/>
      <c r="Y22" s="739"/>
      <c r="Z22" s="739"/>
      <c r="AA22" s="739"/>
      <c r="AB22" s="739"/>
      <c r="AC22" s="739"/>
      <c r="AD22" s="677"/>
      <c r="AE22" s="679"/>
      <c r="AF22" s="740"/>
      <c r="AG22" s="745">
        <f t="shared" si="6"/>
        <v>0.9</v>
      </c>
      <c r="AH22" s="746">
        <f t="shared" si="6"/>
        <v>9.4736842105263161E-2</v>
      </c>
      <c r="AI22" s="746">
        <f t="shared" ref="AI22:AI30" si="7">AF8</f>
        <v>9.4736842105263161E-2</v>
      </c>
      <c r="AJ22" s="677"/>
      <c r="AK22" s="677"/>
      <c r="AL22" s="679"/>
      <c r="AM22" s="679"/>
      <c r="AN22" s="679"/>
    </row>
    <row r="23" spans="1:40" ht="18" customHeight="1" thickBot="1" x14ac:dyDescent="0.3">
      <c r="A23" s="712">
        <v>17</v>
      </c>
      <c r="B23" s="713"/>
      <c r="C23" s="712">
        <v>17</v>
      </c>
      <c r="D23" s="713"/>
      <c r="E23" s="712">
        <v>17</v>
      </c>
      <c r="F23" s="713"/>
      <c r="G23" s="677"/>
      <c r="H23" s="733">
        <v>17</v>
      </c>
      <c r="I23" s="715">
        <f t="shared" si="0"/>
        <v>0</v>
      </c>
      <c r="J23" s="716">
        <v>17</v>
      </c>
      <c r="K23" s="715">
        <f t="shared" si="0"/>
        <v>0</v>
      </c>
      <c r="L23" s="716">
        <v>17</v>
      </c>
      <c r="M23" s="717">
        <f t="shared" si="0"/>
        <v>0</v>
      </c>
      <c r="N23" s="677"/>
      <c r="O23" s="712">
        <v>17</v>
      </c>
      <c r="P23" s="713"/>
      <c r="Q23" s="712">
        <v>17</v>
      </c>
      <c r="R23" s="713"/>
      <c r="S23" s="712">
        <v>17</v>
      </c>
      <c r="T23" s="713"/>
      <c r="U23" s="677"/>
      <c r="V23" s="748" t="s">
        <v>497</v>
      </c>
      <c r="W23" s="749"/>
      <c r="X23" s="750"/>
      <c r="Y23" s="750"/>
      <c r="Z23" s="750"/>
      <c r="AA23" s="751">
        <f>AA91</f>
        <v>0</v>
      </c>
      <c r="AB23" s="743">
        <f>AB91</f>
        <v>0</v>
      </c>
      <c r="AC23" s="752">
        <f>AC91</f>
        <v>0</v>
      </c>
      <c r="AD23" s="677"/>
      <c r="AE23" s="679"/>
      <c r="AF23" s="740"/>
      <c r="AG23" s="745">
        <f t="shared" si="6"/>
        <v>0.8</v>
      </c>
      <c r="AH23" s="746">
        <f t="shared" si="6"/>
        <v>0.15789473684210525</v>
      </c>
      <c r="AI23" s="746">
        <f t="shared" si="7"/>
        <v>0.15789473684210525</v>
      </c>
      <c r="AJ23" s="677"/>
      <c r="AK23" s="677"/>
      <c r="AL23" s="679"/>
      <c r="AM23" s="679"/>
      <c r="AN23" s="679"/>
    </row>
    <row r="24" spans="1:40" ht="18" customHeight="1" thickBot="1" x14ac:dyDescent="0.3">
      <c r="A24" s="712">
        <v>18</v>
      </c>
      <c r="B24" s="713"/>
      <c r="C24" s="712">
        <v>18</v>
      </c>
      <c r="D24" s="713"/>
      <c r="E24" s="712">
        <v>18</v>
      </c>
      <c r="F24" s="713"/>
      <c r="G24" s="677"/>
      <c r="H24" s="726">
        <v>18</v>
      </c>
      <c r="I24" s="715">
        <f t="shared" si="0"/>
        <v>0</v>
      </c>
      <c r="J24" s="716">
        <v>18</v>
      </c>
      <c r="K24" s="715">
        <f t="shared" si="0"/>
        <v>0</v>
      </c>
      <c r="L24" s="716">
        <v>18</v>
      </c>
      <c r="M24" s="717">
        <f t="shared" si="0"/>
        <v>0</v>
      </c>
      <c r="N24" s="677"/>
      <c r="O24" s="712">
        <v>18</v>
      </c>
      <c r="P24" s="713"/>
      <c r="Q24" s="712">
        <v>18</v>
      </c>
      <c r="R24" s="713"/>
      <c r="S24" s="712">
        <v>18</v>
      </c>
      <c r="T24" s="713"/>
      <c r="U24" s="677"/>
      <c r="V24" s="739"/>
      <c r="W24" s="739"/>
      <c r="X24" s="739"/>
      <c r="Y24" s="739"/>
      <c r="Z24" s="739"/>
      <c r="AA24" s="739"/>
      <c r="AB24" s="739"/>
      <c r="AC24" s="739"/>
      <c r="AD24" s="677"/>
      <c r="AE24" s="679"/>
      <c r="AF24" s="740"/>
      <c r="AG24" s="745">
        <f t="shared" si="6"/>
        <v>0.7</v>
      </c>
      <c r="AH24" s="746">
        <f t="shared" si="6"/>
        <v>0.2</v>
      </c>
      <c r="AI24" s="746">
        <f t="shared" si="7"/>
        <v>0.2</v>
      </c>
      <c r="AJ24" s="677"/>
      <c r="AK24" s="677"/>
      <c r="AL24" s="679"/>
      <c r="AM24" s="679"/>
      <c r="AN24" s="679"/>
    </row>
    <row r="25" spans="1:40" ht="18" customHeight="1" x14ac:dyDescent="0.25">
      <c r="A25" s="712">
        <v>19</v>
      </c>
      <c r="B25" s="713"/>
      <c r="C25" s="712">
        <v>19</v>
      </c>
      <c r="D25" s="713"/>
      <c r="E25" s="712">
        <v>19</v>
      </c>
      <c r="F25" s="713"/>
      <c r="G25" s="677"/>
      <c r="H25" s="726">
        <v>19</v>
      </c>
      <c r="I25" s="715">
        <f t="shared" si="0"/>
        <v>0</v>
      </c>
      <c r="J25" s="716">
        <v>19</v>
      </c>
      <c r="K25" s="715">
        <f t="shared" si="0"/>
        <v>0</v>
      </c>
      <c r="L25" s="716">
        <v>19</v>
      </c>
      <c r="M25" s="717">
        <f t="shared" si="0"/>
        <v>0</v>
      </c>
      <c r="N25" s="677"/>
      <c r="O25" s="712">
        <v>19</v>
      </c>
      <c r="P25" s="713"/>
      <c r="Q25" s="712">
        <v>19</v>
      </c>
      <c r="R25" s="713"/>
      <c r="S25" s="712">
        <v>19</v>
      </c>
      <c r="T25" s="713"/>
      <c r="U25" s="677"/>
      <c r="V25" s="1252" t="s">
        <v>494</v>
      </c>
      <c r="W25" s="1253"/>
      <c r="X25" s="753"/>
      <c r="Y25" s="754">
        <f>Y102</f>
        <v>0</v>
      </c>
      <c r="Z25" s="739"/>
      <c r="AA25" s="739"/>
      <c r="AB25" s="739"/>
      <c r="AC25" s="739"/>
      <c r="AD25" s="677"/>
      <c r="AE25" s="679"/>
      <c r="AF25" s="740"/>
      <c r="AG25" s="745">
        <f t="shared" si="6"/>
        <v>0.6</v>
      </c>
      <c r="AH25" s="746">
        <f t="shared" si="6"/>
        <v>0.22105263157894736</v>
      </c>
      <c r="AI25" s="746">
        <f t="shared" si="7"/>
        <v>0.22105263157894736</v>
      </c>
      <c r="AJ25" s="677"/>
      <c r="AK25" s="677"/>
      <c r="AL25" s="679"/>
      <c r="AM25" s="679"/>
      <c r="AN25" s="679"/>
    </row>
    <row r="26" spans="1:40" ht="18" customHeight="1" thickBot="1" x14ac:dyDescent="0.3">
      <c r="A26" s="712">
        <v>20</v>
      </c>
      <c r="B26" s="713"/>
      <c r="C26" s="712">
        <v>20</v>
      </c>
      <c r="D26" s="713"/>
      <c r="E26" s="712">
        <v>20</v>
      </c>
      <c r="F26" s="713"/>
      <c r="G26" s="677"/>
      <c r="H26" s="726">
        <v>20</v>
      </c>
      <c r="I26" s="715">
        <f t="shared" si="0"/>
        <v>0</v>
      </c>
      <c r="J26" s="716">
        <v>20</v>
      </c>
      <c r="K26" s="715">
        <f t="shared" si="0"/>
        <v>0</v>
      </c>
      <c r="L26" s="716">
        <v>20</v>
      </c>
      <c r="M26" s="717">
        <f t="shared" si="0"/>
        <v>0</v>
      </c>
      <c r="N26" s="677"/>
      <c r="O26" s="712">
        <v>20</v>
      </c>
      <c r="P26" s="713"/>
      <c r="Q26" s="712">
        <v>20</v>
      </c>
      <c r="R26" s="713"/>
      <c r="S26" s="712">
        <v>20</v>
      </c>
      <c r="T26" s="713"/>
      <c r="U26" s="677"/>
      <c r="V26" s="1254" t="s">
        <v>495</v>
      </c>
      <c r="W26" s="1255"/>
      <c r="X26" s="755"/>
      <c r="Y26" s="756">
        <f>Y103</f>
        <v>0</v>
      </c>
      <c r="Z26" s="739"/>
      <c r="AA26" s="739"/>
      <c r="AB26" s="739"/>
      <c r="AC26" s="739"/>
      <c r="AD26" s="677"/>
      <c r="AE26" s="679"/>
      <c r="AF26" s="740"/>
      <c r="AG26" s="745">
        <f t="shared" si="6"/>
        <v>0.5</v>
      </c>
      <c r="AH26" s="746">
        <f t="shared" si="6"/>
        <v>0.2</v>
      </c>
      <c r="AI26" s="746">
        <f t="shared" si="7"/>
        <v>0.2</v>
      </c>
      <c r="AJ26" s="677"/>
      <c r="AK26" s="677"/>
      <c r="AL26" s="679"/>
      <c r="AM26" s="679"/>
      <c r="AN26" s="679"/>
    </row>
    <row r="27" spans="1:40" ht="18" customHeight="1" x14ac:dyDescent="0.25">
      <c r="A27" s="712">
        <v>21</v>
      </c>
      <c r="B27" s="713"/>
      <c r="C27" s="712">
        <v>21</v>
      </c>
      <c r="D27" s="713"/>
      <c r="E27" s="712">
        <v>21</v>
      </c>
      <c r="F27" s="713"/>
      <c r="G27" s="677"/>
      <c r="H27" s="726">
        <v>21</v>
      </c>
      <c r="I27" s="715">
        <f t="shared" si="0"/>
        <v>0</v>
      </c>
      <c r="J27" s="716">
        <v>21</v>
      </c>
      <c r="K27" s="715">
        <f t="shared" si="0"/>
        <v>0</v>
      </c>
      <c r="L27" s="716">
        <v>21</v>
      </c>
      <c r="M27" s="717">
        <f t="shared" si="0"/>
        <v>0</v>
      </c>
      <c r="N27" s="677"/>
      <c r="O27" s="712">
        <v>21</v>
      </c>
      <c r="P27" s="713"/>
      <c r="Q27" s="712">
        <v>21</v>
      </c>
      <c r="R27" s="713"/>
      <c r="S27" s="712">
        <v>21</v>
      </c>
      <c r="T27" s="713"/>
      <c r="U27" s="677"/>
      <c r="V27" s="739"/>
      <c r="W27" s="739"/>
      <c r="X27" s="739"/>
      <c r="Y27" s="739"/>
      <c r="Z27" s="739"/>
      <c r="AA27" s="739"/>
      <c r="AB27" s="739"/>
      <c r="AC27" s="739"/>
      <c r="AD27" s="757"/>
      <c r="AE27" s="679"/>
      <c r="AF27" s="740"/>
      <c r="AG27" s="745">
        <f t="shared" si="6"/>
        <v>0.4</v>
      </c>
      <c r="AH27" s="746">
        <f t="shared" si="6"/>
        <v>9.4736842105263161E-2</v>
      </c>
      <c r="AI27" s="746">
        <f t="shared" si="7"/>
        <v>9.4736842105263161E-2</v>
      </c>
      <c r="AJ27" s="677"/>
      <c r="AK27" s="677"/>
      <c r="AL27" s="679"/>
      <c r="AM27" s="679"/>
      <c r="AN27" s="679"/>
    </row>
    <row r="28" spans="1:40" ht="18" customHeight="1" x14ac:dyDescent="0.25">
      <c r="A28" s="712">
        <v>22</v>
      </c>
      <c r="B28" s="713"/>
      <c r="C28" s="712">
        <v>22</v>
      </c>
      <c r="D28" s="713"/>
      <c r="E28" s="712">
        <v>22</v>
      </c>
      <c r="F28" s="713"/>
      <c r="G28" s="677"/>
      <c r="H28" s="714">
        <v>22</v>
      </c>
      <c r="I28" s="715">
        <f t="shared" si="0"/>
        <v>0</v>
      </c>
      <c r="J28" s="716">
        <v>22</v>
      </c>
      <c r="K28" s="715">
        <f t="shared" si="0"/>
        <v>0</v>
      </c>
      <c r="L28" s="716">
        <v>22</v>
      </c>
      <c r="M28" s="717">
        <f t="shared" si="0"/>
        <v>0</v>
      </c>
      <c r="N28" s="677"/>
      <c r="O28" s="712">
        <v>22</v>
      </c>
      <c r="P28" s="713"/>
      <c r="Q28" s="712">
        <v>22</v>
      </c>
      <c r="R28" s="713"/>
      <c r="S28" s="712">
        <v>22</v>
      </c>
      <c r="T28" s="713"/>
      <c r="U28" s="677"/>
      <c r="V28" s="739"/>
      <c r="W28" s="739"/>
      <c r="X28" s="739"/>
      <c r="Y28" s="739"/>
      <c r="Z28" s="739"/>
      <c r="AA28" s="739"/>
      <c r="AB28" s="739"/>
      <c r="AC28" s="739"/>
      <c r="AD28" s="757"/>
      <c r="AE28" s="679"/>
      <c r="AF28" s="740"/>
      <c r="AG28" s="745">
        <f t="shared" si="6"/>
        <v>0.3</v>
      </c>
      <c r="AH28" s="746">
        <f t="shared" si="6"/>
        <v>4.2105263157894743E-2</v>
      </c>
      <c r="AI28" s="746">
        <f t="shared" si="7"/>
        <v>4.2105263157894743E-2</v>
      </c>
      <c r="AJ28" s="677"/>
      <c r="AK28" s="677"/>
      <c r="AL28" s="679"/>
      <c r="AM28" s="679"/>
      <c r="AN28" s="679"/>
    </row>
    <row r="29" spans="1:40" ht="18" customHeight="1" x14ac:dyDescent="0.25">
      <c r="A29" s="712">
        <v>23</v>
      </c>
      <c r="B29" s="713"/>
      <c r="C29" s="712">
        <v>23</v>
      </c>
      <c r="D29" s="713"/>
      <c r="E29" s="712">
        <v>23</v>
      </c>
      <c r="F29" s="713"/>
      <c r="G29" s="677"/>
      <c r="H29" s="714">
        <v>23</v>
      </c>
      <c r="I29" s="715">
        <f t="shared" si="0"/>
        <v>0</v>
      </c>
      <c r="J29" s="716">
        <v>23</v>
      </c>
      <c r="K29" s="715">
        <f t="shared" si="0"/>
        <v>0</v>
      </c>
      <c r="L29" s="716">
        <v>23</v>
      </c>
      <c r="M29" s="717">
        <f t="shared" si="0"/>
        <v>0</v>
      </c>
      <c r="N29" s="677"/>
      <c r="O29" s="712">
        <v>23</v>
      </c>
      <c r="P29" s="718"/>
      <c r="Q29" s="712">
        <v>23</v>
      </c>
      <c r="R29" s="718"/>
      <c r="S29" s="712">
        <v>23</v>
      </c>
      <c r="T29" s="719"/>
      <c r="U29" s="677"/>
      <c r="V29" s="739"/>
      <c r="W29" s="739"/>
      <c r="X29" s="739"/>
      <c r="Y29" s="739"/>
      <c r="Z29" s="739"/>
      <c r="AA29" s="739"/>
      <c r="AB29" s="739"/>
      <c r="AC29" s="739"/>
      <c r="AD29" s="757"/>
      <c r="AE29" s="679"/>
      <c r="AF29" s="740"/>
      <c r="AG29" s="745"/>
      <c r="AH29" s="746">
        <f>AF15</f>
        <v>0</v>
      </c>
      <c r="AI29" s="746"/>
      <c r="AJ29" s="677"/>
      <c r="AK29" s="677"/>
      <c r="AL29" s="679"/>
      <c r="AM29" s="679"/>
      <c r="AN29" s="679"/>
    </row>
    <row r="30" spans="1:40" ht="18" customHeight="1" thickBot="1" x14ac:dyDescent="0.3">
      <c r="A30" s="712">
        <v>24</v>
      </c>
      <c r="B30" s="758"/>
      <c r="C30" s="759">
        <v>24</v>
      </c>
      <c r="D30" s="758"/>
      <c r="E30" s="759">
        <v>24</v>
      </c>
      <c r="F30" s="758"/>
      <c r="G30" s="677"/>
      <c r="H30" s="760">
        <v>24</v>
      </c>
      <c r="I30" s="761">
        <f t="shared" si="0"/>
        <v>0</v>
      </c>
      <c r="J30" s="762">
        <v>24</v>
      </c>
      <c r="K30" s="761">
        <f t="shared" si="0"/>
        <v>0</v>
      </c>
      <c r="L30" s="762">
        <v>24</v>
      </c>
      <c r="M30" s="763">
        <f t="shared" si="0"/>
        <v>0</v>
      </c>
      <c r="N30" s="677"/>
      <c r="O30" s="759">
        <v>24</v>
      </c>
      <c r="P30" s="764"/>
      <c r="Q30" s="759">
        <v>24</v>
      </c>
      <c r="R30" s="764"/>
      <c r="S30" s="759">
        <v>24</v>
      </c>
      <c r="T30" s="765"/>
      <c r="U30" s="677"/>
      <c r="V30" s="739"/>
      <c r="W30" s="739"/>
      <c r="X30" s="739"/>
      <c r="Y30" s="739"/>
      <c r="Z30" s="739"/>
      <c r="AA30" s="739"/>
      <c r="AB30" s="739"/>
      <c r="AC30" s="739"/>
      <c r="AD30" s="757"/>
      <c r="AE30" s="679"/>
      <c r="AF30" s="740"/>
      <c r="AG30" s="745" t="str">
        <f>AE16</f>
        <v>TOT.</v>
      </c>
      <c r="AH30" s="746">
        <f>AF16</f>
        <v>1.0526315789473684</v>
      </c>
      <c r="AI30" s="746">
        <f t="shared" si="7"/>
        <v>1.0526315789473684</v>
      </c>
      <c r="AJ30" s="677"/>
      <c r="AK30" s="677"/>
      <c r="AL30" s="679"/>
      <c r="AM30" s="679"/>
      <c r="AN30" s="679"/>
    </row>
    <row r="31" spans="1:40" ht="18" customHeight="1" thickBot="1" x14ac:dyDescent="0.3">
      <c r="A31" s="766" t="s">
        <v>493</v>
      </c>
      <c r="B31" s="767">
        <f>COUNTIF(B56:B79,1)</f>
        <v>0</v>
      </c>
      <c r="C31" s="766" t="s">
        <v>493</v>
      </c>
      <c r="D31" s="767">
        <f>COUNTIF(D56:D79,1)</f>
        <v>0</v>
      </c>
      <c r="E31" s="766" t="s">
        <v>493</v>
      </c>
      <c r="F31" s="768">
        <f>COUNTIF(F56:F79,1)</f>
        <v>0</v>
      </c>
      <c r="G31" s="677"/>
      <c r="H31" s="769" t="s">
        <v>402</v>
      </c>
      <c r="I31" s="770">
        <f>COUNTIF(I56:I79,1)</f>
        <v>0</v>
      </c>
      <c r="J31" s="769" t="s">
        <v>402</v>
      </c>
      <c r="K31" s="770">
        <f>COUNTIF(K56:K79,1)</f>
        <v>0</v>
      </c>
      <c r="L31" s="769" t="s">
        <v>402</v>
      </c>
      <c r="M31" s="771">
        <f>COUNTIF(M56:M79,1)</f>
        <v>0</v>
      </c>
      <c r="N31" s="677"/>
      <c r="O31" s="766" t="s">
        <v>493</v>
      </c>
      <c r="P31" s="770">
        <f>COUNTIF(P56:P79,1)</f>
        <v>0</v>
      </c>
      <c r="Q31" s="766" t="s">
        <v>493</v>
      </c>
      <c r="R31" s="770">
        <f>COUNTIF(R56:R79,1)</f>
        <v>0</v>
      </c>
      <c r="S31" s="766" t="s">
        <v>493</v>
      </c>
      <c r="T31" s="771">
        <f>COUNTIF(T56:T79,1)</f>
        <v>0</v>
      </c>
      <c r="U31" s="677"/>
      <c r="V31" s="739"/>
      <c r="W31" s="739"/>
      <c r="X31" s="739"/>
      <c r="Y31" s="739"/>
      <c r="Z31" s="739"/>
      <c r="AA31" s="739"/>
      <c r="AB31" s="739"/>
      <c r="AC31" s="739"/>
      <c r="AD31" s="757"/>
      <c r="AE31" s="677"/>
      <c r="AF31" s="678"/>
      <c r="AG31" s="678"/>
      <c r="AH31" s="677"/>
      <c r="AI31" s="677"/>
      <c r="AJ31" s="677"/>
      <c r="AK31" s="677"/>
      <c r="AL31" s="679"/>
      <c r="AM31" s="679"/>
      <c r="AN31" s="679"/>
    </row>
    <row r="32" spans="1:40" ht="18" hidden="1" customHeight="1" x14ac:dyDescent="0.2">
      <c r="A32" s="501" t="s">
        <v>389</v>
      </c>
      <c r="B32" s="502">
        <f>SUM(COUNTIF(B$56:B$62,1),COUNTIF(B$77:B$79,1))</f>
        <v>0</v>
      </c>
      <c r="C32" s="501" t="s">
        <v>389</v>
      </c>
      <c r="D32" s="502">
        <f>SUM((COUNTIF(D$56:D$79,1)))</f>
        <v>0</v>
      </c>
      <c r="E32" s="501" t="s">
        <v>389</v>
      </c>
      <c r="F32" s="503">
        <f>SUM((COUNTIF(F56:F79,1)))</f>
        <v>0</v>
      </c>
      <c r="G32" s="360"/>
      <c r="H32" s="501" t="s">
        <v>396</v>
      </c>
      <c r="I32" s="502">
        <f>SUM(COUNTIF(I$56:I$62,1),COUNTIF(I$77:I$79,1))</f>
        <v>0</v>
      </c>
      <c r="J32" s="501" t="s">
        <v>396</v>
      </c>
      <c r="K32" s="502">
        <f>SUM((COUNTIF(K$56:K$79,1)))</f>
        <v>0</v>
      </c>
      <c r="L32" s="501" t="s">
        <v>396</v>
      </c>
      <c r="M32" s="503">
        <f>SUM((COUNTIF(M56:M79,1)))</f>
        <v>0</v>
      </c>
      <c r="N32" s="360"/>
      <c r="O32" s="501" t="s">
        <v>399</v>
      </c>
      <c r="P32" s="502">
        <f>SUM(COUNTIF(P$56:P$62,1),COUNTIF(P$77:P$79,1))</f>
        <v>0</v>
      </c>
      <c r="Q32" s="501" t="s">
        <v>399</v>
      </c>
      <c r="R32" s="502">
        <f>SUM((COUNTIF(R$56:R$79,1)))</f>
        <v>0</v>
      </c>
      <c r="S32" s="501" t="s">
        <v>399</v>
      </c>
      <c r="T32" s="503">
        <f>SUM((COUNTIF(T56:T79,1)))</f>
        <v>0</v>
      </c>
      <c r="U32" s="360"/>
      <c r="V32" s="576"/>
      <c r="W32" s="576"/>
      <c r="X32" s="576"/>
      <c r="Y32" s="576"/>
      <c r="Z32" s="576"/>
      <c r="AA32" s="576"/>
      <c r="AB32" s="576"/>
      <c r="AC32" s="576"/>
      <c r="AD32" s="577"/>
      <c r="AE32" s="353"/>
      <c r="AF32" s="354"/>
      <c r="AG32" s="354"/>
      <c r="AH32" s="353"/>
      <c r="AI32" s="353"/>
    </row>
    <row r="33" spans="1:36" ht="18" hidden="1" customHeight="1" x14ac:dyDescent="0.2">
      <c r="A33" s="452" t="s">
        <v>390</v>
      </c>
      <c r="B33" s="499">
        <f>SUM(COUNTIF(B$63:B$65,1),COUNTIF(B$73:B$76,1))</f>
        <v>0</v>
      </c>
      <c r="C33" s="452" t="s">
        <v>390</v>
      </c>
      <c r="D33" s="499">
        <v>0</v>
      </c>
      <c r="E33" s="452" t="s">
        <v>390</v>
      </c>
      <c r="F33" s="497">
        <v>0</v>
      </c>
      <c r="G33" s="353"/>
      <c r="H33" s="452" t="s">
        <v>397</v>
      </c>
      <c r="I33" s="499">
        <f>SUM(COUNTIF(I$63:I$65,1),COUNTIF(I$73:I$76,1))</f>
        <v>0</v>
      </c>
      <c r="J33" s="452" t="s">
        <v>397</v>
      </c>
      <c r="K33" s="499">
        <v>0</v>
      </c>
      <c r="L33" s="452" t="s">
        <v>397</v>
      </c>
      <c r="M33" s="497">
        <v>0</v>
      </c>
      <c r="N33" s="353"/>
      <c r="O33" s="452" t="s">
        <v>400</v>
      </c>
      <c r="P33" s="499">
        <f>SUM(COUNTIF(P$63:P$65,1),COUNTIF(P$73:P$76,1))</f>
        <v>0</v>
      </c>
      <c r="Q33" s="452" t="s">
        <v>400</v>
      </c>
      <c r="R33" s="499">
        <v>0</v>
      </c>
      <c r="S33" s="452" t="s">
        <v>400</v>
      </c>
      <c r="T33" s="497">
        <v>0</v>
      </c>
      <c r="U33" s="353"/>
      <c r="V33" s="576"/>
      <c r="W33" s="576"/>
      <c r="X33" s="576"/>
      <c r="Y33" s="576"/>
      <c r="Z33" s="576"/>
      <c r="AA33" s="576"/>
      <c r="AB33" s="576"/>
      <c r="AC33" s="576"/>
      <c r="AD33" s="577"/>
      <c r="AE33" s="353"/>
      <c r="AF33" s="354"/>
      <c r="AG33" s="354"/>
      <c r="AH33" s="353"/>
      <c r="AI33" s="353"/>
    </row>
    <row r="34" spans="1:36" ht="15.75" hidden="1" thickBot="1" x14ac:dyDescent="0.25">
      <c r="A34" s="496" t="s">
        <v>395</v>
      </c>
      <c r="B34" s="500">
        <f>COUNTIF(B$66:B$72,1)</f>
        <v>0</v>
      </c>
      <c r="C34" s="496" t="s">
        <v>395</v>
      </c>
      <c r="D34" s="500">
        <v>0</v>
      </c>
      <c r="E34" s="496" t="s">
        <v>395</v>
      </c>
      <c r="F34" s="498">
        <v>0</v>
      </c>
      <c r="G34" s="353"/>
      <c r="H34" s="496" t="s">
        <v>398</v>
      </c>
      <c r="I34" s="500">
        <f>COUNTIF(I$66:I$72,1)</f>
        <v>0</v>
      </c>
      <c r="J34" s="496" t="s">
        <v>398</v>
      </c>
      <c r="K34" s="500">
        <v>0</v>
      </c>
      <c r="L34" s="496" t="s">
        <v>398</v>
      </c>
      <c r="M34" s="498">
        <v>0</v>
      </c>
      <c r="N34" s="353"/>
      <c r="O34" s="496" t="s">
        <v>401</v>
      </c>
      <c r="P34" s="500">
        <f>COUNTIF(P$66:P$72,1)</f>
        <v>0</v>
      </c>
      <c r="Q34" s="496" t="s">
        <v>401</v>
      </c>
      <c r="R34" s="500">
        <v>0</v>
      </c>
      <c r="S34" s="496" t="s">
        <v>401</v>
      </c>
      <c r="T34" s="498">
        <v>0</v>
      </c>
      <c r="U34" s="353"/>
      <c r="V34" s="576"/>
      <c r="W34" s="576"/>
      <c r="X34" s="576"/>
      <c r="Y34" s="576"/>
      <c r="Z34" s="576"/>
      <c r="AA34" s="576"/>
      <c r="AB34" s="576"/>
      <c r="AC34" s="576"/>
      <c r="AD34" s="577"/>
      <c r="AE34" s="353"/>
      <c r="AF34" s="354"/>
      <c r="AG34" s="354"/>
      <c r="AH34" s="353"/>
      <c r="AI34" s="353"/>
      <c r="AJ34" s="353"/>
    </row>
    <row r="35" spans="1:36" x14ac:dyDescent="0.2">
      <c r="A35" s="493"/>
      <c r="B35" s="494"/>
      <c r="C35" s="494"/>
      <c r="D35" s="494"/>
      <c r="E35" s="494"/>
      <c r="F35" s="494"/>
      <c r="G35" s="353"/>
      <c r="H35" s="494"/>
      <c r="I35" s="494"/>
      <c r="J35" s="494"/>
      <c r="K35" s="494"/>
      <c r="L35" s="494"/>
      <c r="M35" s="494"/>
      <c r="N35" s="353"/>
      <c r="O35" s="494"/>
      <c r="P35" s="494"/>
      <c r="Q35" s="494"/>
      <c r="R35" s="494"/>
      <c r="S35" s="494"/>
      <c r="T35" s="494"/>
      <c r="U35" s="353"/>
      <c r="V35" s="576"/>
      <c r="W35" s="576"/>
      <c r="X35" s="576"/>
      <c r="Y35" s="576"/>
      <c r="Z35" s="576"/>
      <c r="AA35" s="576"/>
      <c r="AB35" s="576"/>
      <c r="AC35" s="576"/>
      <c r="AD35" s="577"/>
      <c r="AE35" s="353"/>
      <c r="AF35" s="354"/>
      <c r="AG35" s="354"/>
      <c r="AH35" s="353"/>
      <c r="AI35" s="353"/>
      <c r="AJ35" s="353"/>
    </row>
    <row r="36" spans="1:36" x14ac:dyDescent="0.2">
      <c r="A36" s="493"/>
      <c r="B36" s="494"/>
      <c r="C36" s="494"/>
      <c r="D36" s="494"/>
      <c r="E36" s="494"/>
      <c r="F36" s="494"/>
      <c r="G36" s="353"/>
      <c r="H36" s="494"/>
      <c r="I36" s="494"/>
      <c r="J36" s="494"/>
      <c r="K36" s="494"/>
      <c r="L36" s="494"/>
      <c r="M36" s="494"/>
      <c r="N36" s="353"/>
      <c r="O36" s="494"/>
      <c r="P36" s="494"/>
      <c r="Q36" s="494"/>
      <c r="R36" s="494"/>
      <c r="S36" s="494"/>
      <c r="T36" s="494"/>
      <c r="U36" s="353"/>
      <c r="V36" s="576"/>
      <c r="W36" s="576"/>
      <c r="X36" s="576"/>
      <c r="Y36" s="576"/>
      <c r="Z36" s="576"/>
      <c r="AA36" s="576"/>
      <c r="AB36" s="576"/>
      <c r="AC36" s="576"/>
      <c r="AD36" s="577"/>
      <c r="AE36" s="368"/>
      <c r="AF36" s="368"/>
      <c r="AG36" s="368"/>
      <c r="AH36" s="368"/>
      <c r="AI36" s="353"/>
      <c r="AJ36" s="353"/>
    </row>
    <row r="37" spans="1:36" x14ac:dyDescent="0.2">
      <c r="A37" s="493"/>
      <c r="B37" s="494"/>
      <c r="C37" s="494"/>
      <c r="D37" s="494"/>
      <c r="E37" s="494"/>
      <c r="F37" s="494"/>
      <c r="G37" s="353"/>
      <c r="H37" s="494"/>
      <c r="I37" s="494"/>
      <c r="J37" s="494"/>
      <c r="K37" s="494"/>
      <c r="L37" s="494"/>
      <c r="M37" s="494"/>
      <c r="N37" s="353"/>
      <c r="O37" s="494"/>
      <c r="P37" s="494"/>
      <c r="Q37" s="494"/>
      <c r="R37" s="494"/>
      <c r="S37" s="494"/>
      <c r="T37" s="494"/>
      <c r="U37" s="353"/>
      <c r="V37" s="576"/>
      <c r="W37" s="576"/>
      <c r="X37" s="576"/>
      <c r="Y37" s="576"/>
      <c r="Z37" s="576"/>
      <c r="AA37" s="576"/>
      <c r="AB37" s="576"/>
      <c r="AC37" s="576"/>
      <c r="AD37" s="577"/>
      <c r="AE37" s="368"/>
      <c r="AF37" s="368"/>
      <c r="AG37" s="368"/>
      <c r="AH37" s="368"/>
      <c r="AI37" s="353"/>
      <c r="AJ37" s="353"/>
    </row>
    <row r="38" spans="1:36" x14ac:dyDescent="0.2">
      <c r="A38" s="493"/>
      <c r="B38" s="494"/>
      <c r="C38" s="494"/>
      <c r="D38" s="494"/>
      <c r="E38" s="494"/>
      <c r="F38" s="494"/>
      <c r="G38" s="353"/>
      <c r="H38" s="494"/>
      <c r="I38" s="494"/>
      <c r="J38" s="494"/>
      <c r="K38" s="494"/>
      <c r="L38" s="494"/>
      <c r="M38" s="494"/>
      <c r="N38" s="353"/>
      <c r="O38" s="494"/>
      <c r="P38" s="494"/>
      <c r="Q38" s="494"/>
      <c r="R38" s="494"/>
      <c r="S38" s="494"/>
      <c r="T38" s="494"/>
      <c r="U38" s="353"/>
      <c r="V38" s="576"/>
      <c r="W38" s="576"/>
      <c r="X38" s="576"/>
      <c r="Y38" s="576"/>
      <c r="Z38" s="576"/>
      <c r="AA38" s="576"/>
      <c r="AB38" s="576"/>
      <c r="AC38" s="576"/>
      <c r="AD38" s="577"/>
      <c r="AE38" s="368"/>
      <c r="AF38" s="368"/>
      <c r="AG38" s="368"/>
      <c r="AH38" s="368"/>
      <c r="AI38" s="353"/>
      <c r="AJ38" s="353"/>
    </row>
    <row r="39" spans="1:36" x14ac:dyDescent="0.2">
      <c r="A39" s="493"/>
      <c r="B39" s="494"/>
      <c r="C39" s="494"/>
      <c r="D39" s="494"/>
      <c r="E39" s="494"/>
      <c r="F39" s="494"/>
      <c r="G39" s="353"/>
      <c r="H39" s="494"/>
      <c r="I39" s="494"/>
      <c r="J39" s="494"/>
      <c r="K39" s="494"/>
      <c r="L39" s="494"/>
      <c r="M39" s="494"/>
      <c r="N39" s="353"/>
      <c r="O39" s="494"/>
      <c r="P39" s="494"/>
      <c r="Q39" s="494"/>
      <c r="R39" s="494"/>
      <c r="S39" s="494"/>
      <c r="T39" s="494"/>
      <c r="U39" s="353"/>
      <c r="V39" s="576"/>
      <c r="W39" s="576"/>
      <c r="X39" s="576"/>
      <c r="Y39" s="576"/>
      <c r="Z39" s="576"/>
      <c r="AA39" s="576"/>
      <c r="AB39" s="576"/>
      <c r="AC39" s="576"/>
      <c r="AD39" s="577"/>
      <c r="AE39" s="368"/>
      <c r="AF39" s="368"/>
      <c r="AG39" s="368"/>
      <c r="AH39" s="368"/>
      <c r="AI39" s="353"/>
      <c r="AJ39" s="353"/>
    </row>
    <row r="40" spans="1:36" x14ac:dyDescent="0.2">
      <c r="A40" s="493"/>
      <c r="B40" s="494"/>
      <c r="C40" s="494"/>
      <c r="D40" s="494"/>
      <c r="E40" s="494"/>
      <c r="F40" s="494"/>
      <c r="G40" s="353"/>
      <c r="H40" s="494"/>
      <c r="I40" s="494"/>
      <c r="J40" s="494"/>
      <c r="K40" s="494"/>
      <c r="L40" s="494"/>
      <c r="M40" s="494"/>
      <c r="N40" s="353"/>
      <c r="O40" s="494"/>
      <c r="P40" s="494"/>
      <c r="Q40" s="494"/>
      <c r="R40" s="494"/>
      <c r="S40" s="494"/>
      <c r="T40" s="494"/>
      <c r="U40" s="353"/>
      <c r="V40" s="576"/>
      <c r="W40" s="576"/>
      <c r="X40" s="576"/>
      <c r="Y40" s="576"/>
      <c r="Z40" s="576"/>
      <c r="AA40" s="576"/>
      <c r="AB40" s="576"/>
      <c r="AC40" s="576"/>
      <c r="AD40" s="577"/>
      <c r="AE40" s="368"/>
      <c r="AF40" s="368"/>
      <c r="AG40" s="368"/>
      <c r="AH40" s="368"/>
      <c r="AI40" s="353"/>
      <c r="AJ40" s="353"/>
    </row>
    <row r="41" spans="1:36" x14ac:dyDescent="0.2">
      <c r="A41" s="493"/>
      <c r="B41" s="494"/>
      <c r="C41" s="494"/>
      <c r="D41" s="494"/>
      <c r="E41" s="494"/>
      <c r="F41" s="494"/>
      <c r="G41" s="353"/>
      <c r="H41" s="494"/>
      <c r="I41" s="494"/>
      <c r="J41" s="494"/>
      <c r="K41" s="494"/>
      <c r="L41" s="494"/>
      <c r="M41" s="494"/>
      <c r="N41" s="353"/>
      <c r="O41" s="494"/>
      <c r="P41" s="494"/>
      <c r="Q41" s="494"/>
      <c r="R41" s="494"/>
      <c r="S41" s="494"/>
      <c r="T41" s="494"/>
      <c r="U41" s="353"/>
      <c r="V41" s="576"/>
      <c r="W41" s="576"/>
      <c r="X41" s="576"/>
      <c r="Y41" s="576"/>
      <c r="Z41" s="576"/>
      <c r="AA41" s="576"/>
      <c r="AB41" s="576"/>
      <c r="AC41" s="576"/>
      <c r="AD41" s="577"/>
      <c r="AE41" s="368"/>
      <c r="AF41" s="368"/>
      <c r="AG41" s="368"/>
      <c r="AH41" s="368"/>
      <c r="AI41" s="353"/>
      <c r="AJ41" s="353"/>
    </row>
    <row r="42" spans="1:36" x14ac:dyDescent="0.2">
      <c r="A42" s="493"/>
      <c r="B42" s="494"/>
      <c r="C42" s="494"/>
      <c r="D42" s="494"/>
      <c r="E42" s="494"/>
      <c r="F42" s="494"/>
      <c r="G42" s="353"/>
      <c r="H42" s="494"/>
      <c r="I42" s="494"/>
      <c r="J42" s="494"/>
      <c r="K42" s="494"/>
      <c r="L42" s="494"/>
      <c r="M42" s="494"/>
      <c r="N42" s="353"/>
      <c r="O42" s="494"/>
      <c r="P42" s="494"/>
      <c r="Q42" s="494"/>
      <c r="R42" s="494"/>
      <c r="S42" s="494"/>
      <c r="T42" s="494"/>
      <c r="U42" s="353"/>
      <c r="V42" s="576"/>
      <c r="W42" s="576"/>
      <c r="X42" s="576"/>
      <c r="Y42" s="576"/>
      <c r="Z42" s="576"/>
      <c r="AA42" s="576"/>
      <c r="AB42" s="576"/>
      <c r="AC42" s="576"/>
      <c r="AD42" s="577"/>
      <c r="AE42" s="368"/>
      <c r="AF42" s="368"/>
      <c r="AG42" s="368"/>
      <c r="AH42" s="368"/>
      <c r="AI42" s="353"/>
      <c r="AJ42" s="353"/>
    </row>
    <row r="43" spans="1:36" x14ac:dyDescent="0.2">
      <c r="A43" s="493"/>
      <c r="B43" s="494"/>
      <c r="C43" s="494"/>
      <c r="D43" s="494"/>
      <c r="E43" s="494"/>
      <c r="F43" s="494"/>
      <c r="G43" s="353"/>
      <c r="H43" s="494"/>
      <c r="I43" s="494"/>
      <c r="J43" s="494"/>
      <c r="K43" s="494"/>
      <c r="L43" s="494"/>
      <c r="M43" s="494"/>
      <c r="N43" s="353"/>
      <c r="O43" s="494"/>
      <c r="P43" s="494"/>
      <c r="Q43" s="494"/>
      <c r="R43" s="494"/>
      <c r="S43" s="494"/>
      <c r="T43" s="494"/>
      <c r="U43" s="353"/>
      <c r="V43" s="576"/>
      <c r="W43" s="576"/>
      <c r="X43" s="576"/>
      <c r="Y43" s="576"/>
      <c r="Z43" s="576"/>
      <c r="AA43" s="576"/>
      <c r="AB43" s="576"/>
      <c r="AC43" s="576"/>
      <c r="AD43" s="577"/>
      <c r="AE43" s="368"/>
      <c r="AF43" s="368"/>
      <c r="AG43" s="368"/>
      <c r="AH43" s="368"/>
      <c r="AI43" s="353"/>
      <c r="AJ43" s="353"/>
    </row>
    <row r="44" spans="1:36" x14ac:dyDescent="0.2">
      <c r="A44" s="493"/>
      <c r="B44" s="494"/>
      <c r="C44" s="494"/>
      <c r="D44" s="494"/>
      <c r="E44" s="494"/>
      <c r="F44" s="494"/>
      <c r="G44" s="353"/>
      <c r="H44" s="494"/>
      <c r="I44" s="494"/>
      <c r="J44" s="494"/>
      <c r="K44" s="494"/>
      <c r="L44" s="494"/>
      <c r="M44" s="494"/>
      <c r="N44" s="353"/>
      <c r="O44" s="494"/>
      <c r="P44" s="494"/>
      <c r="Q44" s="494"/>
      <c r="R44" s="494"/>
      <c r="S44" s="494"/>
      <c r="T44" s="494"/>
      <c r="U44" s="353"/>
      <c r="V44" s="576"/>
      <c r="W44" s="576"/>
      <c r="X44" s="576"/>
      <c r="Y44" s="576"/>
      <c r="Z44" s="576"/>
      <c r="AA44" s="576"/>
      <c r="AB44" s="576"/>
      <c r="AC44" s="576"/>
      <c r="AD44" s="577"/>
      <c r="AE44" s="353"/>
      <c r="AF44" s="354"/>
      <c r="AG44" s="354"/>
      <c r="AH44" s="353"/>
      <c r="AI44" s="353"/>
      <c r="AJ44" s="353"/>
    </row>
    <row r="45" spans="1:36" x14ac:dyDescent="0.2">
      <c r="A45" s="493"/>
      <c r="B45" s="494"/>
      <c r="C45" s="494"/>
      <c r="D45" s="494"/>
      <c r="E45" s="494"/>
      <c r="F45" s="494"/>
      <c r="G45" s="353"/>
      <c r="H45" s="494"/>
      <c r="I45" s="494"/>
      <c r="J45" s="494"/>
      <c r="K45" s="494"/>
      <c r="L45" s="494"/>
      <c r="M45" s="494"/>
      <c r="N45" s="353"/>
      <c r="O45" s="494"/>
      <c r="P45" s="494"/>
      <c r="Q45" s="494"/>
      <c r="R45" s="494"/>
      <c r="S45" s="494"/>
      <c r="T45" s="494"/>
      <c r="U45" s="353"/>
      <c r="V45" s="576"/>
      <c r="W45" s="576"/>
      <c r="X45" s="576"/>
      <c r="Y45" s="576"/>
      <c r="Z45" s="576"/>
      <c r="AA45" s="576"/>
      <c r="AB45" s="576"/>
      <c r="AC45" s="576"/>
      <c r="AD45" s="577"/>
      <c r="AE45" s="353"/>
      <c r="AF45" s="354"/>
      <c r="AG45" s="354"/>
      <c r="AH45" s="353"/>
      <c r="AI45" s="353"/>
      <c r="AJ45" s="353"/>
    </row>
    <row r="46" spans="1:36" x14ac:dyDescent="0.2">
      <c r="A46" s="493"/>
      <c r="B46" s="494"/>
      <c r="C46" s="494"/>
      <c r="D46" s="494"/>
      <c r="E46" s="494"/>
      <c r="F46" s="494"/>
      <c r="G46" s="353"/>
      <c r="H46" s="494"/>
      <c r="I46" s="494"/>
      <c r="J46" s="494"/>
      <c r="K46" s="494"/>
      <c r="L46" s="494"/>
      <c r="M46" s="494"/>
      <c r="N46" s="353"/>
      <c r="O46" s="494"/>
      <c r="P46" s="494"/>
      <c r="Q46" s="494"/>
      <c r="R46" s="494"/>
      <c r="S46" s="494"/>
      <c r="T46" s="494"/>
      <c r="U46" s="353"/>
      <c r="V46" s="576"/>
      <c r="W46" s="576"/>
      <c r="X46" s="576"/>
      <c r="Y46" s="576"/>
      <c r="Z46" s="576"/>
      <c r="AA46" s="576"/>
      <c r="AB46" s="576"/>
      <c r="AC46" s="576"/>
      <c r="AD46" s="577"/>
      <c r="AE46" s="353"/>
      <c r="AF46" s="354"/>
      <c r="AG46" s="354"/>
      <c r="AH46" s="353"/>
      <c r="AI46" s="353"/>
      <c r="AJ46" s="353"/>
    </row>
    <row r="47" spans="1:36" x14ac:dyDescent="0.2">
      <c r="A47" s="493"/>
      <c r="B47" s="494"/>
      <c r="C47" s="494"/>
      <c r="D47" s="494"/>
      <c r="E47" s="494"/>
      <c r="F47" s="494"/>
      <c r="G47" s="353"/>
      <c r="H47" s="494"/>
      <c r="I47" s="494"/>
      <c r="J47" s="494"/>
      <c r="K47" s="494"/>
      <c r="L47" s="494"/>
      <c r="M47" s="494"/>
      <c r="N47" s="353"/>
      <c r="O47" s="494"/>
      <c r="P47" s="494"/>
      <c r="Q47" s="494"/>
      <c r="R47" s="494"/>
      <c r="S47" s="494"/>
      <c r="T47" s="494"/>
      <c r="U47" s="353"/>
      <c r="V47" s="576"/>
      <c r="W47" s="576"/>
      <c r="X47" s="576"/>
      <c r="Y47" s="576"/>
      <c r="Z47" s="576"/>
      <c r="AA47" s="576"/>
      <c r="AB47" s="576"/>
      <c r="AC47" s="576"/>
      <c r="AD47" s="577"/>
      <c r="AE47" s="353"/>
      <c r="AF47" s="354"/>
      <c r="AG47" s="354"/>
      <c r="AH47" s="353"/>
      <c r="AI47" s="353"/>
      <c r="AJ47" s="353"/>
    </row>
    <row r="48" spans="1:36" x14ac:dyDescent="0.2">
      <c r="A48" s="493"/>
      <c r="B48" s="494"/>
      <c r="C48" s="494"/>
      <c r="D48" s="494"/>
      <c r="E48" s="494"/>
      <c r="F48" s="494"/>
      <c r="G48" s="353"/>
      <c r="H48" s="494"/>
      <c r="I48" s="494"/>
      <c r="J48" s="494"/>
      <c r="K48" s="494"/>
      <c r="L48" s="494"/>
      <c r="M48" s="494"/>
      <c r="N48" s="353"/>
      <c r="O48" s="494"/>
      <c r="P48" s="494"/>
      <c r="Q48" s="494"/>
      <c r="R48" s="494"/>
      <c r="S48" s="494"/>
      <c r="T48" s="494"/>
      <c r="U48" s="353"/>
      <c r="V48" s="576"/>
      <c r="W48" s="576"/>
      <c r="X48" s="576"/>
      <c r="Y48" s="576"/>
      <c r="Z48" s="576"/>
      <c r="AA48" s="576"/>
      <c r="AB48" s="576"/>
      <c r="AC48" s="576"/>
      <c r="AD48" s="577"/>
      <c r="AE48" s="353"/>
      <c r="AF48" s="354"/>
      <c r="AG48" s="354"/>
      <c r="AH48" s="353"/>
      <c r="AI48" s="353"/>
      <c r="AJ48" s="353"/>
    </row>
    <row r="49" spans="1:36" x14ac:dyDescent="0.2">
      <c r="A49" s="493"/>
      <c r="B49" s="494"/>
      <c r="C49" s="494"/>
      <c r="D49" s="494"/>
      <c r="E49" s="494"/>
      <c r="F49" s="494"/>
      <c r="G49" s="353"/>
      <c r="H49" s="494"/>
      <c r="I49" s="494"/>
      <c r="J49" s="494"/>
      <c r="K49" s="494"/>
      <c r="L49" s="494"/>
      <c r="M49" s="494"/>
      <c r="N49" s="353"/>
      <c r="O49" s="494"/>
      <c r="P49" s="494"/>
      <c r="Q49" s="494"/>
      <c r="R49" s="494"/>
      <c r="S49" s="494"/>
      <c r="T49" s="494"/>
      <c r="U49" s="353"/>
      <c r="V49" s="576"/>
      <c r="W49" s="576"/>
      <c r="X49" s="576"/>
      <c r="Y49" s="576"/>
      <c r="Z49" s="576"/>
      <c r="AA49" s="576"/>
      <c r="AB49" s="576"/>
      <c r="AC49" s="576"/>
      <c r="AD49" s="577"/>
      <c r="AE49" s="353"/>
      <c r="AF49" s="354"/>
      <c r="AG49" s="354"/>
      <c r="AH49" s="353"/>
      <c r="AI49" s="353"/>
      <c r="AJ49" s="353"/>
    </row>
    <row r="50" spans="1:36" x14ac:dyDescent="0.2">
      <c r="A50" s="493"/>
      <c r="B50" s="494"/>
      <c r="C50" s="494"/>
      <c r="D50" s="494"/>
      <c r="E50" s="494"/>
      <c r="F50" s="494"/>
      <c r="G50" s="353"/>
      <c r="H50" s="494"/>
      <c r="I50" s="494"/>
      <c r="J50" s="494"/>
      <c r="K50" s="494"/>
      <c r="L50" s="494"/>
      <c r="M50" s="494"/>
      <c r="N50" s="353"/>
      <c r="O50" s="494"/>
      <c r="P50" s="494"/>
      <c r="Q50" s="494"/>
      <c r="R50" s="494"/>
      <c r="S50" s="494"/>
      <c r="T50" s="494"/>
      <c r="U50" s="353"/>
      <c r="V50" s="576"/>
      <c r="W50" s="576"/>
      <c r="X50" s="576"/>
      <c r="Y50" s="576"/>
      <c r="Z50" s="576"/>
      <c r="AA50" s="576"/>
      <c r="AB50" s="576"/>
      <c r="AC50" s="576"/>
      <c r="AD50" s="576"/>
      <c r="AE50" s="368"/>
      <c r="AF50" s="354"/>
      <c r="AG50" s="354"/>
      <c r="AH50" s="353"/>
      <c r="AI50" s="353"/>
      <c r="AJ50" s="353"/>
    </row>
    <row r="51" spans="1:36" x14ac:dyDescent="0.2">
      <c r="A51" s="493"/>
      <c r="B51" s="494"/>
      <c r="C51" s="494"/>
      <c r="D51" s="494"/>
      <c r="E51" s="494"/>
      <c r="F51" s="494"/>
      <c r="G51" s="353"/>
      <c r="H51" s="494"/>
      <c r="I51" s="494"/>
      <c r="J51" s="494"/>
      <c r="K51" s="494"/>
      <c r="L51" s="494"/>
      <c r="M51" s="494"/>
      <c r="N51" s="353"/>
      <c r="O51" s="494"/>
      <c r="P51" s="494"/>
      <c r="Q51" s="494"/>
      <c r="R51" s="494"/>
      <c r="S51" s="494"/>
      <c r="T51" s="494"/>
      <c r="U51" s="353"/>
      <c r="V51" s="576"/>
      <c r="W51" s="576"/>
      <c r="X51" s="576"/>
      <c r="Y51" s="576"/>
      <c r="Z51" s="576"/>
      <c r="AA51" s="576"/>
      <c r="AB51" s="576"/>
      <c r="AC51" s="576"/>
      <c r="AD51" s="576"/>
      <c r="AE51" s="368"/>
      <c r="AF51" s="354"/>
      <c r="AG51" s="354"/>
      <c r="AH51" s="353"/>
      <c r="AI51" s="353"/>
      <c r="AJ51" s="353"/>
    </row>
    <row r="52" spans="1:36" x14ac:dyDescent="0.2">
      <c r="A52" s="493"/>
      <c r="B52" s="494"/>
      <c r="C52" s="494"/>
      <c r="D52" s="494"/>
      <c r="E52" s="494"/>
      <c r="F52" s="494"/>
      <c r="G52" s="353"/>
      <c r="H52" s="494"/>
      <c r="I52" s="494"/>
      <c r="J52" s="494"/>
      <c r="K52" s="494"/>
      <c r="L52" s="494"/>
      <c r="M52" s="494"/>
      <c r="N52" s="353"/>
      <c r="O52" s="494"/>
      <c r="P52" s="494"/>
      <c r="Q52" s="494"/>
      <c r="R52" s="494"/>
      <c r="S52" s="494"/>
      <c r="T52" s="494"/>
      <c r="U52" s="353"/>
      <c r="V52" s="576"/>
      <c r="W52" s="576"/>
      <c r="X52" s="576"/>
      <c r="Y52" s="577"/>
      <c r="Z52" s="576"/>
      <c r="AA52" s="576"/>
      <c r="AB52" s="576"/>
      <c r="AC52" s="576"/>
      <c r="AD52" s="576"/>
      <c r="AE52" s="368"/>
      <c r="AF52" s="354"/>
      <c r="AG52" s="354"/>
      <c r="AH52" s="353"/>
      <c r="AI52" s="353"/>
    </row>
    <row r="53" spans="1:36" x14ac:dyDescent="0.2">
      <c r="A53" s="493"/>
      <c r="B53" s="494"/>
      <c r="C53" s="494"/>
      <c r="D53" s="494"/>
      <c r="E53" s="494"/>
      <c r="F53" s="494"/>
      <c r="G53" s="353"/>
      <c r="H53" s="494"/>
      <c r="I53" s="494"/>
      <c r="J53" s="494"/>
      <c r="K53" s="494"/>
      <c r="L53" s="494"/>
      <c r="M53" s="494"/>
      <c r="N53" s="353"/>
      <c r="O53" s="494"/>
      <c r="P53" s="494"/>
      <c r="Q53" s="494"/>
      <c r="R53" s="494"/>
      <c r="S53" s="494"/>
      <c r="T53" s="494"/>
      <c r="U53" s="353"/>
      <c r="V53" s="576"/>
      <c r="W53" s="576"/>
      <c r="X53" s="576"/>
      <c r="Y53" s="577"/>
      <c r="Z53" s="576"/>
      <c r="AA53" s="576"/>
      <c r="AB53" s="576"/>
      <c r="AC53" s="576"/>
      <c r="AD53" s="576"/>
      <c r="AE53" s="368"/>
      <c r="AF53" s="354"/>
      <c r="AG53" s="354"/>
      <c r="AH53" s="353"/>
      <c r="AI53" s="353"/>
    </row>
    <row r="54" spans="1:36" x14ac:dyDescent="0.2">
      <c r="A54" s="362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577"/>
      <c r="W54" s="577"/>
      <c r="X54" s="577"/>
      <c r="Y54" s="577"/>
      <c r="Z54" s="577"/>
      <c r="AA54" s="577"/>
      <c r="AB54" s="577"/>
      <c r="AC54" s="577"/>
      <c r="AD54" s="577"/>
      <c r="AE54" s="353"/>
      <c r="AF54" s="354"/>
      <c r="AG54" s="354"/>
      <c r="AH54" s="353"/>
      <c r="AI54" s="353"/>
    </row>
    <row r="55" spans="1:36" hidden="1" x14ac:dyDescent="0.2">
      <c r="A55" s="363" t="s">
        <v>34</v>
      </c>
      <c r="B55" s="364" t="s">
        <v>37</v>
      </c>
      <c r="C55" s="364"/>
      <c r="D55" s="364" t="s">
        <v>35</v>
      </c>
      <c r="E55" s="364"/>
      <c r="F55" s="364" t="s">
        <v>36</v>
      </c>
      <c r="G55" s="365"/>
      <c r="H55" s="363" t="s">
        <v>34</v>
      </c>
      <c r="I55" s="364" t="s">
        <v>37</v>
      </c>
      <c r="J55" s="364"/>
      <c r="K55" s="364" t="s">
        <v>35</v>
      </c>
      <c r="L55" s="364"/>
      <c r="M55" s="364" t="s">
        <v>36</v>
      </c>
      <c r="N55" s="365"/>
      <c r="O55" s="363" t="s">
        <v>34</v>
      </c>
      <c r="P55" s="364" t="s">
        <v>37</v>
      </c>
      <c r="Q55" s="364"/>
      <c r="R55" s="364" t="s">
        <v>35</v>
      </c>
      <c r="S55" s="364"/>
      <c r="T55" s="364" t="s">
        <v>36</v>
      </c>
      <c r="U55" s="365"/>
      <c r="V55" s="366"/>
      <c r="W55" s="363" t="s">
        <v>38</v>
      </c>
      <c r="X55" s="364" t="s">
        <v>39</v>
      </c>
      <c r="Y55" s="364" t="s">
        <v>78</v>
      </c>
      <c r="Z55" s="367"/>
      <c r="AA55" s="367"/>
      <c r="AB55" s="367"/>
      <c r="AC55" s="368"/>
      <c r="AD55" s="368"/>
      <c r="AE55" s="368"/>
      <c r="AF55" s="369"/>
      <c r="AG55" s="369"/>
      <c r="AH55" s="368"/>
      <c r="AI55" s="368"/>
    </row>
    <row r="56" spans="1:36" hidden="1" x14ac:dyDescent="0.2">
      <c r="A56" s="363">
        <v>1</v>
      </c>
      <c r="B56" s="504">
        <f>IF(B7=0,0,1)</f>
        <v>0</v>
      </c>
      <c r="C56" s="364"/>
      <c r="D56" s="504">
        <f>IF(D7=0,0,1)</f>
        <v>0</v>
      </c>
      <c r="E56" s="364"/>
      <c r="F56" s="504">
        <f>IF(F7=0,0,1)</f>
        <v>0</v>
      </c>
      <c r="G56" s="365"/>
      <c r="H56" s="363">
        <v>1</v>
      </c>
      <c r="I56" s="504">
        <f>IF(I7=0,0,1)</f>
        <v>0</v>
      </c>
      <c r="J56" s="364"/>
      <c r="K56" s="504">
        <f>IF(K7=0,0,1)</f>
        <v>0</v>
      </c>
      <c r="L56" s="364"/>
      <c r="M56" s="504">
        <f>IF(M7=0,0,1)</f>
        <v>0</v>
      </c>
      <c r="N56" s="365"/>
      <c r="O56" s="363">
        <v>1</v>
      </c>
      <c r="P56" s="504">
        <f>IF(P7=0,0,1)</f>
        <v>0</v>
      </c>
      <c r="Q56" s="364"/>
      <c r="R56" s="504">
        <f>IF(R7=0,0,1)</f>
        <v>0</v>
      </c>
      <c r="S56" s="364"/>
      <c r="T56" s="504">
        <f>IF(T7=0,0,1)</f>
        <v>0</v>
      </c>
      <c r="U56" s="365"/>
      <c r="V56" s="366"/>
      <c r="W56" s="363">
        <v>1</v>
      </c>
      <c r="X56" s="370">
        <f>IF(X7=0,0,1)</f>
        <v>0</v>
      </c>
      <c r="Y56" s="370">
        <f>IF(AA7=0,0,1)</f>
        <v>0</v>
      </c>
      <c r="Z56" s="371"/>
      <c r="AA56" s="367"/>
      <c r="AB56" s="368"/>
      <c r="AC56" s="368"/>
      <c r="AD56" s="368"/>
      <c r="AE56" s="368"/>
      <c r="AF56" s="368"/>
      <c r="AG56" s="368"/>
      <c r="AH56" s="368"/>
      <c r="AI56" s="368"/>
    </row>
    <row r="57" spans="1:36" hidden="1" x14ac:dyDescent="0.2">
      <c r="A57" s="363">
        <v>2</v>
      </c>
      <c r="B57" s="504">
        <f t="shared" ref="B57:D62" si="8">IF(B8=0,0,1)</f>
        <v>0</v>
      </c>
      <c r="C57" s="364"/>
      <c r="D57" s="504">
        <f t="shared" si="8"/>
        <v>0</v>
      </c>
      <c r="E57" s="364"/>
      <c r="F57" s="504">
        <f t="shared" ref="F57" si="9">IF(F8=0,0,1)</f>
        <v>0</v>
      </c>
      <c r="G57" s="365"/>
      <c r="H57" s="363">
        <v>2</v>
      </c>
      <c r="I57" s="504">
        <f t="shared" ref="I57" si="10">IF(I8=0,0,1)</f>
        <v>0</v>
      </c>
      <c r="J57" s="364"/>
      <c r="K57" s="504">
        <f t="shared" ref="K57" si="11">IF(K8=0,0,1)</f>
        <v>0</v>
      </c>
      <c r="L57" s="364"/>
      <c r="M57" s="504">
        <f t="shared" ref="M57" si="12">IF(M8=0,0,1)</f>
        <v>0</v>
      </c>
      <c r="N57" s="365"/>
      <c r="O57" s="363">
        <v>2</v>
      </c>
      <c r="P57" s="504">
        <f t="shared" ref="P57" si="13">IF(P8=0,0,1)</f>
        <v>0</v>
      </c>
      <c r="Q57" s="364"/>
      <c r="R57" s="504">
        <f t="shared" ref="R57" si="14">IF(R8=0,0,1)</f>
        <v>0</v>
      </c>
      <c r="S57" s="364"/>
      <c r="T57" s="504">
        <f t="shared" ref="T57" si="15">IF(T8=0,0,1)</f>
        <v>0</v>
      </c>
      <c r="U57" s="365"/>
      <c r="V57" s="366"/>
      <c r="W57" s="363">
        <v>2</v>
      </c>
      <c r="X57" s="370">
        <f t="shared" ref="X57:X67" si="16">IF(X8=0,0,1)</f>
        <v>0</v>
      </c>
      <c r="Y57" s="370">
        <f t="shared" ref="Y57:Y67" si="17">IF(AA8=0,0,1)</f>
        <v>0</v>
      </c>
      <c r="Z57" s="371"/>
      <c r="AA57" s="367"/>
      <c r="AB57" s="368"/>
      <c r="AC57" s="368"/>
      <c r="AD57" s="368"/>
      <c r="AE57" s="368"/>
      <c r="AF57" s="368"/>
      <c r="AG57" s="368"/>
      <c r="AH57" s="368"/>
      <c r="AI57" s="368"/>
    </row>
    <row r="58" spans="1:36" hidden="1" x14ac:dyDescent="0.2">
      <c r="A58" s="363">
        <v>3</v>
      </c>
      <c r="B58" s="504">
        <f t="shared" si="8"/>
        <v>0</v>
      </c>
      <c r="C58" s="364"/>
      <c r="D58" s="504">
        <f t="shared" si="8"/>
        <v>0</v>
      </c>
      <c r="E58" s="364"/>
      <c r="F58" s="504">
        <f t="shared" ref="F58" si="18">IF(F9=0,0,1)</f>
        <v>0</v>
      </c>
      <c r="G58" s="365"/>
      <c r="H58" s="363">
        <v>3</v>
      </c>
      <c r="I58" s="504">
        <f t="shared" ref="I58" si="19">IF(I9=0,0,1)</f>
        <v>0</v>
      </c>
      <c r="J58" s="364"/>
      <c r="K58" s="504">
        <f t="shared" ref="K58" si="20">IF(K9=0,0,1)</f>
        <v>0</v>
      </c>
      <c r="L58" s="364"/>
      <c r="M58" s="504">
        <f t="shared" ref="M58" si="21">IF(M9=0,0,1)</f>
        <v>0</v>
      </c>
      <c r="N58" s="365"/>
      <c r="O58" s="363">
        <v>3</v>
      </c>
      <c r="P58" s="504">
        <f t="shared" ref="P58" si="22">IF(P9=0,0,1)</f>
        <v>0</v>
      </c>
      <c r="Q58" s="364"/>
      <c r="R58" s="504">
        <f t="shared" ref="R58" si="23">IF(R9=0,0,1)</f>
        <v>0</v>
      </c>
      <c r="S58" s="364"/>
      <c r="T58" s="504">
        <f t="shared" ref="T58" si="24">IF(T9=0,0,1)</f>
        <v>0</v>
      </c>
      <c r="U58" s="365"/>
      <c r="V58" s="366"/>
      <c r="W58" s="363">
        <v>3</v>
      </c>
      <c r="X58" s="370">
        <f t="shared" si="16"/>
        <v>0</v>
      </c>
      <c r="Y58" s="370">
        <f t="shared" si="17"/>
        <v>0</v>
      </c>
      <c r="Z58" s="371"/>
      <c r="AA58" s="367"/>
      <c r="AB58" s="368"/>
      <c r="AC58" s="368"/>
      <c r="AD58" s="368"/>
      <c r="AE58" s="368"/>
      <c r="AF58" s="368"/>
      <c r="AG58" s="368"/>
      <c r="AH58" s="368"/>
      <c r="AI58" s="368"/>
    </row>
    <row r="59" spans="1:36" hidden="1" x14ac:dyDescent="0.2">
      <c r="A59" s="363">
        <v>4</v>
      </c>
      <c r="B59" s="504">
        <f t="shared" si="8"/>
        <v>0</v>
      </c>
      <c r="C59" s="364"/>
      <c r="D59" s="504">
        <f t="shared" si="8"/>
        <v>0</v>
      </c>
      <c r="E59" s="364"/>
      <c r="F59" s="504">
        <f t="shared" ref="F59" si="25">IF(F10=0,0,1)</f>
        <v>0</v>
      </c>
      <c r="G59" s="365"/>
      <c r="H59" s="363">
        <v>4</v>
      </c>
      <c r="I59" s="504">
        <f t="shared" ref="I59" si="26">IF(I10=0,0,1)</f>
        <v>0</v>
      </c>
      <c r="J59" s="364"/>
      <c r="K59" s="504">
        <f t="shared" ref="K59" si="27">IF(K10=0,0,1)</f>
        <v>0</v>
      </c>
      <c r="L59" s="364"/>
      <c r="M59" s="504">
        <f t="shared" ref="M59" si="28">IF(M10=0,0,1)</f>
        <v>0</v>
      </c>
      <c r="N59" s="365"/>
      <c r="O59" s="363">
        <v>4</v>
      </c>
      <c r="P59" s="504">
        <f t="shared" ref="P59" si="29">IF(P10=0,0,1)</f>
        <v>0</v>
      </c>
      <c r="Q59" s="364"/>
      <c r="R59" s="504">
        <f t="shared" ref="R59" si="30">IF(R10=0,0,1)</f>
        <v>0</v>
      </c>
      <c r="S59" s="364"/>
      <c r="T59" s="504">
        <f t="shared" ref="T59" si="31">IF(T10=0,0,1)</f>
        <v>0</v>
      </c>
      <c r="U59" s="365"/>
      <c r="V59" s="366"/>
      <c r="W59" s="363">
        <v>4</v>
      </c>
      <c r="X59" s="370">
        <f t="shared" si="16"/>
        <v>0</v>
      </c>
      <c r="Y59" s="370">
        <f t="shared" si="17"/>
        <v>0</v>
      </c>
      <c r="Z59" s="371"/>
      <c r="AA59" s="367"/>
      <c r="AB59" s="368"/>
      <c r="AC59" s="368"/>
      <c r="AD59" s="368"/>
      <c r="AE59" s="368"/>
      <c r="AF59" s="368"/>
      <c r="AG59" s="368"/>
      <c r="AH59" s="368"/>
      <c r="AI59" s="368"/>
    </row>
    <row r="60" spans="1:36" hidden="1" x14ac:dyDescent="0.2">
      <c r="A60" s="363">
        <v>5</v>
      </c>
      <c r="B60" s="504">
        <f t="shared" si="8"/>
        <v>0</v>
      </c>
      <c r="C60" s="364"/>
      <c r="D60" s="504">
        <f t="shared" si="8"/>
        <v>0</v>
      </c>
      <c r="E60" s="364"/>
      <c r="F60" s="504">
        <f t="shared" ref="F60" si="32">IF(F11=0,0,1)</f>
        <v>0</v>
      </c>
      <c r="G60" s="365"/>
      <c r="H60" s="363">
        <v>5</v>
      </c>
      <c r="I60" s="504">
        <f t="shared" ref="I60" si="33">IF(I11=0,0,1)</f>
        <v>0</v>
      </c>
      <c r="J60" s="364"/>
      <c r="K60" s="504">
        <f t="shared" ref="K60" si="34">IF(K11=0,0,1)</f>
        <v>0</v>
      </c>
      <c r="L60" s="364"/>
      <c r="M60" s="504">
        <f t="shared" ref="M60" si="35">IF(M11=0,0,1)</f>
        <v>0</v>
      </c>
      <c r="N60" s="365"/>
      <c r="O60" s="363">
        <v>5</v>
      </c>
      <c r="P60" s="504">
        <f t="shared" ref="P60" si="36">IF(P11=0,0,1)</f>
        <v>0</v>
      </c>
      <c r="Q60" s="364"/>
      <c r="R60" s="504">
        <f t="shared" ref="R60" si="37">IF(R11=0,0,1)</f>
        <v>0</v>
      </c>
      <c r="S60" s="364"/>
      <c r="T60" s="504">
        <f t="shared" ref="T60" si="38">IF(T11=0,0,1)</f>
        <v>0</v>
      </c>
      <c r="U60" s="365"/>
      <c r="V60" s="366"/>
      <c r="W60" s="363">
        <v>5</v>
      </c>
      <c r="X60" s="370">
        <f t="shared" si="16"/>
        <v>0</v>
      </c>
      <c r="Y60" s="370">
        <f t="shared" si="17"/>
        <v>0</v>
      </c>
      <c r="Z60" s="371"/>
      <c r="AA60" s="367"/>
      <c r="AB60" s="368"/>
      <c r="AC60" s="368"/>
      <c r="AD60" s="368"/>
      <c r="AE60" s="368"/>
      <c r="AF60" s="368"/>
      <c r="AG60" s="368"/>
      <c r="AH60" s="368"/>
      <c r="AI60" s="368"/>
    </row>
    <row r="61" spans="1:36" hidden="1" x14ac:dyDescent="0.2">
      <c r="A61" s="363">
        <v>6</v>
      </c>
      <c r="B61" s="504">
        <f t="shared" si="8"/>
        <v>0</v>
      </c>
      <c r="C61" s="364"/>
      <c r="D61" s="504">
        <f t="shared" si="8"/>
        <v>0</v>
      </c>
      <c r="E61" s="364"/>
      <c r="F61" s="504">
        <f t="shared" ref="F61" si="39">IF(F12=0,0,1)</f>
        <v>0</v>
      </c>
      <c r="G61" s="365"/>
      <c r="H61" s="363">
        <v>6</v>
      </c>
      <c r="I61" s="504">
        <f t="shared" ref="I61" si="40">IF(I12=0,0,1)</f>
        <v>0</v>
      </c>
      <c r="J61" s="364"/>
      <c r="K61" s="504">
        <f t="shared" ref="K61" si="41">IF(K12=0,0,1)</f>
        <v>0</v>
      </c>
      <c r="L61" s="364"/>
      <c r="M61" s="504">
        <f t="shared" ref="M61" si="42">IF(M12=0,0,1)</f>
        <v>0</v>
      </c>
      <c r="N61" s="365"/>
      <c r="O61" s="363">
        <v>6</v>
      </c>
      <c r="P61" s="504">
        <f t="shared" ref="P61" si="43">IF(P12=0,0,1)</f>
        <v>0</v>
      </c>
      <c r="Q61" s="364"/>
      <c r="R61" s="504">
        <f t="shared" ref="R61" si="44">IF(R12=0,0,1)</f>
        <v>0</v>
      </c>
      <c r="S61" s="364"/>
      <c r="T61" s="504">
        <f t="shared" ref="T61" si="45">IF(T12=0,0,1)</f>
        <v>0</v>
      </c>
      <c r="U61" s="365"/>
      <c r="V61" s="366"/>
      <c r="W61" s="363">
        <v>6</v>
      </c>
      <c r="X61" s="370">
        <f t="shared" si="16"/>
        <v>0</v>
      </c>
      <c r="Y61" s="370">
        <f t="shared" si="17"/>
        <v>0</v>
      </c>
      <c r="Z61" s="371"/>
      <c r="AA61" s="367"/>
      <c r="AB61" s="368"/>
      <c r="AC61" s="368"/>
      <c r="AD61" s="368"/>
      <c r="AE61" s="368"/>
      <c r="AF61" s="368"/>
      <c r="AG61" s="368"/>
      <c r="AH61" s="368"/>
      <c r="AI61" s="368"/>
    </row>
    <row r="62" spans="1:36" hidden="1" x14ac:dyDescent="0.2">
      <c r="A62" s="363">
        <v>7</v>
      </c>
      <c r="B62" s="504">
        <f t="shared" si="8"/>
        <v>0</v>
      </c>
      <c r="C62" s="364"/>
      <c r="D62" s="504">
        <f t="shared" si="8"/>
        <v>0</v>
      </c>
      <c r="E62" s="364"/>
      <c r="F62" s="504">
        <f t="shared" ref="F62" si="46">IF(F13=0,0,1)</f>
        <v>0</v>
      </c>
      <c r="G62" s="365"/>
      <c r="H62" s="363">
        <v>7</v>
      </c>
      <c r="I62" s="504">
        <f t="shared" ref="I62:I79" si="47">IF(I13=0,0,1)</f>
        <v>0</v>
      </c>
      <c r="J62" s="364"/>
      <c r="K62" s="504">
        <f t="shared" ref="K62" si="48">IF(K13=0,0,1)</f>
        <v>0</v>
      </c>
      <c r="L62" s="364"/>
      <c r="M62" s="504">
        <f t="shared" ref="M62" si="49">IF(M13=0,0,1)</f>
        <v>0</v>
      </c>
      <c r="N62" s="365"/>
      <c r="O62" s="363">
        <v>7</v>
      </c>
      <c r="P62" s="504">
        <f t="shared" ref="P62:P79" si="50">IF(P13=0,0,1)</f>
        <v>0</v>
      </c>
      <c r="Q62" s="364"/>
      <c r="R62" s="504">
        <f t="shared" ref="R62" si="51">IF(R13=0,0,1)</f>
        <v>0</v>
      </c>
      <c r="S62" s="364"/>
      <c r="T62" s="504">
        <f t="shared" ref="T62" si="52">IF(T13=0,0,1)</f>
        <v>0</v>
      </c>
      <c r="U62" s="365"/>
      <c r="V62" s="366"/>
      <c r="W62" s="363">
        <v>7</v>
      </c>
      <c r="X62" s="370">
        <f t="shared" si="16"/>
        <v>0</v>
      </c>
      <c r="Y62" s="370">
        <f t="shared" si="17"/>
        <v>0</v>
      </c>
      <c r="Z62" s="371"/>
      <c r="AA62" s="367"/>
      <c r="AB62" s="368"/>
      <c r="AC62" s="368"/>
      <c r="AD62" s="368"/>
      <c r="AE62" s="368"/>
      <c r="AF62" s="368"/>
      <c r="AG62" s="368"/>
      <c r="AH62" s="368"/>
      <c r="AI62" s="368"/>
    </row>
    <row r="63" spans="1:36" hidden="1" x14ac:dyDescent="0.2">
      <c r="A63" s="363">
        <v>8</v>
      </c>
      <c r="B63" s="618">
        <f t="shared" ref="B63" si="53">IF(B14=0,0,1)</f>
        <v>0</v>
      </c>
      <c r="C63" s="364"/>
      <c r="D63" s="504">
        <f t="shared" ref="D63:F63" si="54">IF(D14=0,0,1)</f>
        <v>0</v>
      </c>
      <c r="E63" s="364"/>
      <c r="F63" s="504">
        <f t="shared" si="54"/>
        <v>0</v>
      </c>
      <c r="G63" s="365"/>
      <c r="H63" s="363">
        <v>8</v>
      </c>
      <c r="I63" s="618">
        <f t="shared" si="47"/>
        <v>0</v>
      </c>
      <c r="J63" s="364"/>
      <c r="K63" s="504">
        <f t="shared" ref="K63" si="55">IF(K14=0,0,1)</f>
        <v>0</v>
      </c>
      <c r="L63" s="364"/>
      <c r="M63" s="504">
        <f t="shared" ref="M63" si="56">IF(M14=0,0,1)</f>
        <v>0</v>
      </c>
      <c r="N63" s="365"/>
      <c r="O63" s="363">
        <v>8</v>
      </c>
      <c r="P63" s="618">
        <f t="shared" si="50"/>
        <v>0</v>
      </c>
      <c r="Q63" s="364"/>
      <c r="R63" s="504">
        <f t="shared" ref="R63" si="57">IF(R14=0,0,1)</f>
        <v>0</v>
      </c>
      <c r="S63" s="364"/>
      <c r="T63" s="504">
        <f t="shared" ref="T63" si="58">IF(T14=0,0,1)</f>
        <v>0</v>
      </c>
      <c r="U63" s="365"/>
      <c r="V63" s="366"/>
      <c r="W63" s="363">
        <v>8</v>
      </c>
      <c r="X63" s="370">
        <f t="shared" si="16"/>
        <v>0</v>
      </c>
      <c r="Y63" s="370">
        <f t="shared" si="17"/>
        <v>0</v>
      </c>
      <c r="Z63" s="371"/>
      <c r="AA63" s="367"/>
      <c r="AB63" s="368"/>
      <c r="AC63" s="368"/>
      <c r="AD63" s="368"/>
      <c r="AE63" s="368"/>
      <c r="AF63" s="368"/>
      <c r="AG63" s="368"/>
      <c r="AH63" s="368"/>
      <c r="AI63" s="368"/>
    </row>
    <row r="64" spans="1:36" hidden="1" x14ac:dyDescent="0.2">
      <c r="A64" s="363">
        <v>9</v>
      </c>
      <c r="B64" s="618">
        <f t="shared" ref="B64" si="59">IF(B15=0,0,1)</f>
        <v>0</v>
      </c>
      <c r="C64" s="364"/>
      <c r="D64" s="504">
        <f t="shared" ref="D64:F64" si="60">IF(D15=0,0,1)</f>
        <v>0</v>
      </c>
      <c r="E64" s="364"/>
      <c r="F64" s="504">
        <f t="shared" si="60"/>
        <v>0</v>
      </c>
      <c r="G64" s="365"/>
      <c r="H64" s="363">
        <v>9</v>
      </c>
      <c r="I64" s="618">
        <f t="shared" si="47"/>
        <v>0</v>
      </c>
      <c r="J64" s="364"/>
      <c r="K64" s="504">
        <f t="shared" ref="K64" si="61">IF(K15=0,0,1)</f>
        <v>0</v>
      </c>
      <c r="L64" s="364"/>
      <c r="M64" s="504">
        <f t="shared" ref="M64" si="62">IF(M15=0,0,1)</f>
        <v>0</v>
      </c>
      <c r="N64" s="365"/>
      <c r="O64" s="363">
        <v>9</v>
      </c>
      <c r="P64" s="618">
        <f t="shared" si="50"/>
        <v>0</v>
      </c>
      <c r="Q64" s="364"/>
      <c r="R64" s="504">
        <f t="shared" ref="R64" si="63">IF(R15=0,0,1)</f>
        <v>0</v>
      </c>
      <c r="S64" s="364"/>
      <c r="T64" s="504">
        <f t="shared" ref="T64" si="64">IF(T15=0,0,1)</f>
        <v>0</v>
      </c>
      <c r="U64" s="365"/>
      <c r="V64" s="366"/>
      <c r="W64" s="363">
        <v>9</v>
      </c>
      <c r="X64" s="370">
        <f t="shared" si="16"/>
        <v>0</v>
      </c>
      <c r="Y64" s="370">
        <f t="shared" si="17"/>
        <v>0</v>
      </c>
      <c r="Z64" s="371"/>
      <c r="AA64" s="367"/>
      <c r="AB64" s="368"/>
      <c r="AC64" s="368"/>
      <c r="AD64" s="368"/>
      <c r="AE64" s="368"/>
      <c r="AF64" s="368"/>
      <c r="AG64" s="368"/>
      <c r="AH64" s="368"/>
      <c r="AI64" s="368"/>
    </row>
    <row r="65" spans="1:36" hidden="1" x14ac:dyDescent="0.2">
      <c r="A65" s="363">
        <v>10</v>
      </c>
      <c r="B65" s="618">
        <f t="shared" ref="B65" si="65">IF(B16=0,0,1)</f>
        <v>0</v>
      </c>
      <c r="C65" s="364"/>
      <c r="D65" s="504">
        <f t="shared" ref="D65:F65" si="66">IF(D16=0,0,1)</f>
        <v>0</v>
      </c>
      <c r="E65" s="364"/>
      <c r="F65" s="504">
        <f t="shared" si="66"/>
        <v>0</v>
      </c>
      <c r="G65" s="365"/>
      <c r="H65" s="363">
        <v>10</v>
      </c>
      <c r="I65" s="618">
        <f t="shared" si="47"/>
        <v>0</v>
      </c>
      <c r="J65" s="364"/>
      <c r="K65" s="504">
        <f t="shared" ref="K65" si="67">IF(K16=0,0,1)</f>
        <v>0</v>
      </c>
      <c r="L65" s="364"/>
      <c r="M65" s="504">
        <f t="shared" ref="M65" si="68">IF(M16=0,0,1)</f>
        <v>0</v>
      </c>
      <c r="N65" s="365"/>
      <c r="O65" s="363">
        <v>10</v>
      </c>
      <c r="P65" s="618">
        <f t="shared" si="50"/>
        <v>0</v>
      </c>
      <c r="Q65" s="364"/>
      <c r="R65" s="504">
        <f t="shared" ref="R65" si="69">IF(R16=0,0,1)</f>
        <v>0</v>
      </c>
      <c r="S65" s="364"/>
      <c r="T65" s="504">
        <f t="shared" ref="T65" si="70">IF(T16=0,0,1)</f>
        <v>0</v>
      </c>
      <c r="U65" s="365"/>
      <c r="V65" s="366"/>
      <c r="W65" s="363">
        <v>10</v>
      </c>
      <c r="X65" s="370">
        <f t="shared" si="16"/>
        <v>0</v>
      </c>
      <c r="Y65" s="370">
        <f t="shared" si="17"/>
        <v>0</v>
      </c>
      <c r="Z65" s="371"/>
      <c r="AA65" s="367"/>
      <c r="AB65" s="368"/>
      <c r="AC65" s="368"/>
      <c r="AD65" s="368"/>
      <c r="AE65" s="368"/>
      <c r="AF65" s="368"/>
      <c r="AG65" s="368"/>
      <c r="AH65" s="368"/>
      <c r="AI65" s="368"/>
    </row>
    <row r="66" spans="1:36" hidden="1" x14ac:dyDescent="0.2">
      <c r="A66" s="363">
        <v>11</v>
      </c>
      <c r="B66" s="619">
        <f t="shared" ref="B66" si="71">IF(B17=0,0,1)</f>
        <v>0</v>
      </c>
      <c r="C66" s="364"/>
      <c r="D66" s="504">
        <f t="shared" ref="D66:F66" si="72">IF(D17=0,0,1)</f>
        <v>0</v>
      </c>
      <c r="E66" s="364"/>
      <c r="F66" s="504">
        <f t="shared" si="72"/>
        <v>0</v>
      </c>
      <c r="G66" s="365"/>
      <c r="H66" s="363">
        <v>11</v>
      </c>
      <c r="I66" s="619">
        <f t="shared" si="47"/>
        <v>0</v>
      </c>
      <c r="J66" s="364"/>
      <c r="K66" s="504">
        <f t="shared" ref="K66" si="73">IF(K17=0,0,1)</f>
        <v>0</v>
      </c>
      <c r="L66" s="364"/>
      <c r="M66" s="504">
        <f t="shared" ref="M66" si="74">IF(M17=0,0,1)</f>
        <v>0</v>
      </c>
      <c r="N66" s="365"/>
      <c r="O66" s="363">
        <v>11</v>
      </c>
      <c r="P66" s="619">
        <f t="shared" si="50"/>
        <v>0</v>
      </c>
      <c r="Q66" s="364"/>
      <c r="R66" s="504">
        <f t="shared" ref="R66" si="75">IF(R17=0,0,1)</f>
        <v>0</v>
      </c>
      <c r="S66" s="364"/>
      <c r="T66" s="504">
        <f t="shared" ref="T66" si="76">IF(T17=0,0,1)</f>
        <v>0</v>
      </c>
      <c r="U66" s="365"/>
      <c r="V66" s="366"/>
      <c r="W66" s="363">
        <v>11</v>
      </c>
      <c r="X66" s="370">
        <f t="shared" si="16"/>
        <v>0</v>
      </c>
      <c r="Y66" s="370">
        <f t="shared" si="17"/>
        <v>0</v>
      </c>
      <c r="Z66" s="371"/>
      <c r="AA66" s="367"/>
      <c r="AB66" s="368"/>
      <c r="AC66" s="368"/>
      <c r="AD66" s="368"/>
      <c r="AE66" s="368"/>
      <c r="AF66" s="368"/>
      <c r="AG66" s="368"/>
      <c r="AH66" s="368"/>
      <c r="AI66" s="368"/>
    </row>
    <row r="67" spans="1:36" hidden="1" x14ac:dyDescent="0.2">
      <c r="A67" s="363">
        <v>12</v>
      </c>
      <c r="B67" s="619">
        <f t="shared" ref="B67" si="77">IF(B18=0,0,1)</f>
        <v>0</v>
      </c>
      <c r="C67" s="364"/>
      <c r="D67" s="504">
        <f t="shared" ref="D67:F67" si="78">IF(D18=0,0,1)</f>
        <v>0</v>
      </c>
      <c r="E67" s="364"/>
      <c r="F67" s="504">
        <f t="shared" si="78"/>
        <v>0</v>
      </c>
      <c r="G67" s="365"/>
      <c r="H67" s="363">
        <v>12</v>
      </c>
      <c r="I67" s="619">
        <f t="shared" si="47"/>
        <v>0</v>
      </c>
      <c r="J67" s="364"/>
      <c r="K67" s="504">
        <f t="shared" ref="K67" si="79">IF(K18=0,0,1)</f>
        <v>0</v>
      </c>
      <c r="L67" s="364"/>
      <c r="M67" s="504">
        <f t="shared" ref="M67" si="80">IF(M18=0,0,1)</f>
        <v>0</v>
      </c>
      <c r="N67" s="365"/>
      <c r="O67" s="363">
        <v>12</v>
      </c>
      <c r="P67" s="619">
        <f t="shared" si="50"/>
        <v>0</v>
      </c>
      <c r="Q67" s="364"/>
      <c r="R67" s="504">
        <f t="shared" ref="R67" si="81">IF(R18=0,0,1)</f>
        <v>0</v>
      </c>
      <c r="S67" s="364"/>
      <c r="T67" s="504">
        <f t="shared" ref="T67" si="82">IF(T18=0,0,1)</f>
        <v>0</v>
      </c>
      <c r="U67" s="365"/>
      <c r="V67" s="366"/>
      <c r="W67" s="363">
        <v>12</v>
      </c>
      <c r="X67" s="370">
        <f t="shared" si="16"/>
        <v>0</v>
      </c>
      <c r="Y67" s="370">
        <f t="shared" si="17"/>
        <v>0</v>
      </c>
      <c r="Z67" s="371"/>
      <c r="AA67" s="367"/>
      <c r="AB67" s="368"/>
      <c r="AC67" s="368"/>
      <c r="AD67" s="368"/>
      <c r="AE67" s="368"/>
      <c r="AF67" s="368"/>
      <c r="AG67" s="368"/>
      <c r="AH67" s="368"/>
      <c r="AI67" s="368"/>
    </row>
    <row r="68" spans="1:36" hidden="1" x14ac:dyDescent="0.2">
      <c r="A68" s="363">
        <v>13</v>
      </c>
      <c r="B68" s="619">
        <f t="shared" ref="B68" si="83">IF(B19=0,0,1)</f>
        <v>0</v>
      </c>
      <c r="C68" s="364"/>
      <c r="D68" s="504">
        <f t="shared" ref="D68:F68" si="84">IF(D19=0,0,1)</f>
        <v>0</v>
      </c>
      <c r="E68" s="364"/>
      <c r="F68" s="504">
        <f t="shared" si="84"/>
        <v>0</v>
      </c>
      <c r="G68" s="365"/>
      <c r="H68" s="363">
        <v>13</v>
      </c>
      <c r="I68" s="619">
        <f t="shared" si="47"/>
        <v>0</v>
      </c>
      <c r="J68" s="364"/>
      <c r="K68" s="504">
        <f t="shared" ref="K68" si="85">IF(K19=0,0,1)</f>
        <v>0</v>
      </c>
      <c r="L68" s="364"/>
      <c r="M68" s="504">
        <f t="shared" ref="M68" si="86">IF(M19=0,0,1)</f>
        <v>0</v>
      </c>
      <c r="N68" s="365"/>
      <c r="O68" s="363">
        <v>13</v>
      </c>
      <c r="P68" s="619">
        <f t="shared" si="50"/>
        <v>0</v>
      </c>
      <c r="Q68" s="364"/>
      <c r="R68" s="504">
        <f t="shared" ref="R68" si="87">IF(R19=0,0,1)</f>
        <v>0</v>
      </c>
      <c r="S68" s="364"/>
      <c r="T68" s="504">
        <f t="shared" ref="T68" si="88">IF(T19=0,0,1)</f>
        <v>0</v>
      </c>
      <c r="U68" s="365"/>
      <c r="V68" s="365"/>
      <c r="W68" s="366"/>
      <c r="X68" s="366"/>
      <c r="Y68" s="365"/>
      <c r="Z68" s="372"/>
      <c r="AA68" s="372"/>
      <c r="AB68" s="372"/>
      <c r="AC68" s="368"/>
      <c r="AD68" s="368"/>
      <c r="AE68" s="368"/>
      <c r="AF68" s="369"/>
      <c r="AG68" s="369"/>
      <c r="AH68" s="368"/>
      <c r="AI68" s="368"/>
    </row>
    <row r="69" spans="1:36" hidden="1" x14ac:dyDescent="0.2">
      <c r="A69" s="363">
        <v>14</v>
      </c>
      <c r="B69" s="619">
        <f t="shared" ref="B69" si="89">IF(B20=0,0,1)</f>
        <v>0</v>
      </c>
      <c r="C69" s="364"/>
      <c r="D69" s="504">
        <f t="shared" ref="D69:F70" si="90">IF(D20=0,0,1)</f>
        <v>0</v>
      </c>
      <c r="E69" s="364"/>
      <c r="F69" s="504">
        <f t="shared" si="90"/>
        <v>0</v>
      </c>
      <c r="G69" s="365"/>
      <c r="H69" s="363">
        <v>14</v>
      </c>
      <c r="I69" s="619">
        <f t="shared" si="47"/>
        <v>0</v>
      </c>
      <c r="J69" s="364"/>
      <c r="K69" s="504">
        <f t="shared" ref="K69" si="91">IF(K20=0,0,1)</f>
        <v>0</v>
      </c>
      <c r="L69" s="364"/>
      <c r="M69" s="504">
        <f t="shared" ref="M69" si="92">IF(M20=0,0,1)</f>
        <v>0</v>
      </c>
      <c r="N69" s="365"/>
      <c r="O69" s="363">
        <v>14</v>
      </c>
      <c r="P69" s="619">
        <f t="shared" si="50"/>
        <v>0</v>
      </c>
      <c r="Q69" s="364"/>
      <c r="R69" s="504">
        <f t="shared" ref="R69" si="93">IF(R20=0,0,1)</f>
        <v>0</v>
      </c>
      <c r="S69" s="364"/>
      <c r="T69" s="504">
        <f t="shared" ref="T69" si="94">IF(T20=0,0,1)</f>
        <v>0</v>
      </c>
      <c r="U69" s="365"/>
      <c r="V69" s="365"/>
      <c r="W69" s="366"/>
      <c r="X69" s="366"/>
      <c r="Y69" s="365"/>
      <c r="Z69" s="372"/>
      <c r="AA69" s="372"/>
      <c r="AB69" s="372"/>
      <c r="AC69" s="368"/>
      <c r="AD69" s="368"/>
      <c r="AE69" s="368"/>
      <c r="AF69" s="369"/>
      <c r="AG69" s="369"/>
      <c r="AH69" s="368"/>
      <c r="AI69" s="368"/>
    </row>
    <row r="70" spans="1:36" hidden="1" x14ac:dyDescent="0.2">
      <c r="A70" s="363">
        <v>15</v>
      </c>
      <c r="B70" s="619">
        <f t="shared" ref="B70" si="95">IF(B21=0,0,1)</f>
        <v>0</v>
      </c>
      <c r="C70" s="364"/>
      <c r="D70" s="504">
        <f t="shared" si="90"/>
        <v>0</v>
      </c>
      <c r="E70" s="364"/>
      <c r="F70" s="504">
        <f t="shared" si="90"/>
        <v>0</v>
      </c>
      <c r="G70" s="365"/>
      <c r="H70" s="363">
        <v>15</v>
      </c>
      <c r="I70" s="619">
        <f t="shared" si="47"/>
        <v>0</v>
      </c>
      <c r="J70" s="364"/>
      <c r="K70" s="504">
        <f t="shared" ref="K70" si="96">IF(K21=0,0,1)</f>
        <v>0</v>
      </c>
      <c r="L70" s="364"/>
      <c r="M70" s="504">
        <f t="shared" ref="M70" si="97">IF(M21=0,0,1)</f>
        <v>0</v>
      </c>
      <c r="N70" s="365"/>
      <c r="O70" s="363">
        <v>15</v>
      </c>
      <c r="P70" s="619">
        <f t="shared" si="50"/>
        <v>0</v>
      </c>
      <c r="Q70" s="364"/>
      <c r="R70" s="504">
        <f t="shared" ref="R70" si="98">IF(R21=0,0,1)</f>
        <v>0</v>
      </c>
      <c r="S70" s="364"/>
      <c r="T70" s="504">
        <f t="shared" ref="T70" si="99">IF(T21=0,0,1)</f>
        <v>0</v>
      </c>
      <c r="U70" s="365"/>
      <c r="V70" s="365"/>
      <c r="W70" s="366"/>
      <c r="X70" s="366"/>
      <c r="Y70" s="365"/>
      <c r="Z70" s="372"/>
      <c r="AA70" s="372"/>
      <c r="AB70" s="372"/>
      <c r="AC70" s="368"/>
      <c r="AD70" s="368"/>
      <c r="AE70" s="368"/>
      <c r="AF70" s="369"/>
      <c r="AG70" s="369"/>
      <c r="AH70" s="368"/>
      <c r="AI70" s="368"/>
    </row>
    <row r="71" spans="1:36" hidden="1" x14ac:dyDescent="0.2">
      <c r="A71" s="363">
        <v>16</v>
      </c>
      <c r="B71" s="619">
        <f t="shared" ref="B71" si="100">IF(B22=0,0,1)</f>
        <v>0</v>
      </c>
      <c r="C71" s="364"/>
      <c r="D71" s="504">
        <f t="shared" ref="D71:F71" si="101">IF(D22=0,0,1)</f>
        <v>0</v>
      </c>
      <c r="E71" s="364"/>
      <c r="F71" s="504">
        <f t="shared" si="101"/>
        <v>0</v>
      </c>
      <c r="G71" s="365"/>
      <c r="H71" s="363">
        <v>16</v>
      </c>
      <c r="I71" s="619">
        <f t="shared" si="47"/>
        <v>0</v>
      </c>
      <c r="J71" s="364"/>
      <c r="K71" s="504">
        <f t="shared" ref="K71" si="102">IF(K22=0,0,1)</f>
        <v>0</v>
      </c>
      <c r="L71" s="364"/>
      <c r="M71" s="504">
        <f t="shared" ref="M71" si="103">IF(M22=0,0,1)</f>
        <v>0</v>
      </c>
      <c r="N71" s="365"/>
      <c r="O71" s="363">
        <v>16</v>
      </c>
      <c r="P71" s="619">
        <f t="shared" si="50"/>
        <v>0</v>
      </c>
      <c r="Q71" s="364"/>
      <c r="R71" s="504">
        <f t="shared" ref="R71" si="104">IF(R22=0,0,1)</f>
        <v>0</v>
      </c>
      <c r="S71" s="364"/>
      <c r="T71" s="504">
        <f t="shared" ref="T71" si="105">IF(T22=0,0,1)</f>
        <v>0</v>
      </c>
      <c r="U71" s="365"/>
      <c r="V71" s="365"/>
      <c r="W71" s="366"/>
      <c r="X71" s="366"/>
      <c r="Y71" s="365"/>
      <c r="Z71" s="372"/>
      <c r="AA71" s="372"/>
      <c r="AB71" s="372"/>
      <c r="AC71" s="368"/>
      <c r="AD71" s="368"/>
      <c r="AE71" s="368"/>
      <c r="AF71" s="369"/>
      <c r="AG71" s="369"/>
      <c r="AH71" s="368"/>
      <c r="AI71" s="368"/>
    </row>
    <row r="72" spans="1:36" hidden="1" x14ac:dyDescent="0.2">
      <c r="A72" s="363">
        <v>17</v>
      </c>
      <c r="B72" s="619">
        <f t="shared" ref="B72" si="106">IF(B23=0,0,1)</f>
        <v>0</v>
      </c>
      <c r="C72" s="364"/>
      <c r="D72" s="504">
        <f t="shared" ref="D72:F72" si="107">IF(D23=0,0,1)</f>
        <v>0</v>
      </c>
      <c r="E72" s="364"/>
      <c r="F72" s="504">
        <f t="shared" si="107"/>
        <v>0</v>
      </c>
      <c r="G72" s="365"/>
      <c r="H72" s="363">
        <v>17</v>
      </c>
      <c r="I72" s="619">
        <f t="shared" si="47"/>
        <v>0</v>
      </c>
      <c r="J72" s="364"/>
      <c r="K72" s="504">
        <f t="shared" ref="K72" si="108">IF(K23=0,0,1)</f>
        <v>0</v>
      </c>
      <c r="L72" s="364"/>
      <c r="M72" s="504">
        <f t="shared" ref="M72" si="109">IF(M23=0,0,1)</f>
        <v>0</v>
      </c>
      <c r="N72" s="365"/>
      <c r="O72" s="363">
        <v>17</v>
      </c>
      <c r="P72" s="619">
        <f t="shared" si="50"/>
        <v>0</v>
      </c>
      <c r="Q72" s="364"/>
      <c r="R72" s="504">
        <f t="shared" ref="R72" si="110">IF(R23=0,0,1)</f>
        <v>0</v>
      </c>
      <c r="S72" s="364"/>
      <c r="T72" s="504">
        <f t="shared" ref="T72" si="111">IF(T23=0,0,1)</f>
        <v>0</v>
      </c>
      <c r="U72" s="365"/>
      <c r="V72" s="365"/>
      <c r="W72" s="366"/>
      <c r="X72" s="366"/>
      <c r="Y72" s="365"/>
      <c r="Z72" s="372"/>
      <c r="AA72" s="372"/>
      <c r="AB72" s="372"/>
      <c r="AC72" s="368"/>
      <c r="AD72" s="368"/>
      <c r="AE72" s="368"/>
      <c r="AF72" s="369"/>
      <c r="AG72" s="369"/>
      <c r="AH72" s="368"/>
      <c r="AI72" s="368"/>
    </row>
    <row r="73" spans="1:36" hidden="1" x14ac:dyDescent="0.2">
      <c r="A73" s="363">
        <v>18</v>
      </c>
      <c r="B73" s="618">
        <f t="shared" ref="B73" si="112">IF(B24=0,0,1)</f>
        <v>0</v>
      </c>
      <c r="C73" s="364"/>
      <c r="D73" s="504">
        <f t="shared" ref="D73:F73" si="113">IF(D24=0,0,1)</f>
        <v>0</v>
      </c>
      <c r="E73" s="364"/>
      <c r="F73" s="504">
        <f t="shared" si="113"/>
        <v>0</v>
      </c>
      <c r="G73" s="365"/>
      <c r="H73" s="363">
        <v>18</v>
      </c>
      <c r="I73" s="618">
        <f t="shared" si="47"/>
        <v>0</v>
      </c>
      <c r="J73" s="364"/>
      <c r="K73" s="504">
        <f t="shared" ref="K73" si="114">IF(K24=0,0,1)</f>
        <v>0</v>
      </c>
      <c r="L73" s="364"/>
      <c r="M73" s="504">
        <f t="shared" ref="M73" si="115">IF(M24=0,0,1)</f>
        <v>0</v>
      </c>
      <c r="N73" s="365"/>
      <c r="O73" s="363">
        <v>18</v>
      </c>
      <c r="P73" s="618">
        <f t="shared" si="50"/>
        <v>0</v>
      </c>
      <c r="Q73" s="364"/>
      <c r="R73" s="504">
        <f t="shared" ref="R73" si="116">IF(R24=0,0,1)</f>
        <v>0</v>
      </c>
      <c r="S73" s="364"/>
      <c r="T73" s="504">
        <f t="shared" ref="T73" si="117">IF(T24=0,0,1)</f>
        <v>0</v>
      </c>
      <c r="U73" s="365"/>
      <c r="V73" s="365"/>
      <c r="W73" s="366"/>
      <c r="X73" s="366"/>
      <c r="Y73" s="365"/>
      <c r="Z73" s="372"/>
      <c r="AA73" s="372"/>
      <c r="AB73" s="372"/>
      <c r="AC73" s="368"/>
      <c r="AD73" s="368"/>
      <c r="AE73" s="368"/>
      <c r="AF73" s="369"/>
      <c r="AG73" s="369"/>
      <c r="AH73" s="368"/>
      <c r="AI73" s="368"/>
    </row>
    <row r="74" spans="1:36" hidden="1" x14ac:dyDescent="0.2">
      <c r="A74" s="363">
        <v>19</v>
      </c>
      <c r="B74" s="618">
        <f t="shared" ref="B74" si="118">IF(B25=0,0,1)</f>
        <v>0</v>
      </c>
      <c r="C74" s="364"/>
      <c r="D74" s="504">
        <f t="shared" ref="D74:F74" si="119">IF(D25=0,0,1)</f>
        <v>0</v>
      </c>
      <c r="E74" s="364"/>
      <c r="F74" s="504">
        <f t="shared" si="119"/>
        <v>0</v>
      </c>
      <c r="G74" s="365"/>
      <c r="H74" s="363">
        <v>19</v>
      </c>
      <c r="I74" s="618">
        <f t="shared" si="47"/>
        <v>0</v>
      </c>
      <c r="J74" s="364"/>
      <c r="K74" s="504">
        <f t="shared" ref="K74" si="120">IF(K25=0,0,1)</f>
        <v>0</v>
      </c>
      <c r="L74" s="364"/>
      <c r="M74" s="504">
        <f t="shared" ref="M74" si="121">IF(M25=0,0,1)</f>
        <v>0</v>
      </c>
      <c r="N74" s="365"/>
      <c r="O74" s="363">
        <v>19</v>
      </c>
      <c r="P74" s="618">
        <f t="shared" si="50"/>
        <v>0</v>
      </c>
      <c r="Q74" s="364"/>
      <c r="R74" s="504">
        <f t="shared" ref="R74" si="122">IF(R25=0,0,1)</f>
        <v>0</v>
      </c>
      <c r="S74" s="364"/>
      <c r="T74" s="504">
        <f t="shared" ref="T74" si="123">IF(T25=0,0,1)</f>
        <v>0</v>
      </c>
      <c r="U74" s="365"/>
      <c r="V74" s="365"/>
      <c r="W74" s="366"/>
      <c r="X74" s="366"/>
      <c r="Y74" s="365"/>
      <c r="Z74" s="372"/>
      <c r="AA74" s="372"/>
      <c r="AB74" s="372"/>
      <c r="AC74" s="368"/>
      <c r="AD74" s="368"/>
      <c r="AE74" s="368"/>
      <c r="AF74" s="369"/>
      <c r="AG74" s="369"/>
      <c r="AH74" s="368"/>
      <c r="AI74" s="368"/>
    </row>
    <row r="75" spans="1:36" hidden="1" x14ac:dyDescent="0.2">
      <c r="A75" s="363">
        <v>20</v>
      </c>
      <c r="B75" s="618">
        <f t="shared" ref="B75" si="124">IF(B26=0,0,1)</f>
        <v>0</v>
      </c>
      <c r="C75" s="364"/>
      <c r="D75" s="504">
        <f t="shared" ref="D75:F75" si="125">IF(D26=0,0,1)</f>
        <v>0</v>
      </c>
      <c r="E75" s="364"/>
      <c r="F75" s="504">
        <f t="shared" si="125"/>
        <v>0</v>
      </c>
      <c r="G75" s="365"/>
      <c r="H75" s="363">
        <v>20</v>
      </c>
      <c r="I75" s="618">
        <f t="shared" si="47"/>
        <v>0</v>
      </c>
      <c r="J75" s="364"/>
      <c r="K75" s="504">
        <f t="shared" ref="K75" si="126">IF(K26=0,0,1)</f>
        <v>0</v>
      </c>
      <c r="L75" s="364"/>
      <c r="M75" s="504">
        <f t="shared" ref="M75" si="127">IF(M26=0,0,1)</f>
        <v>0</v>
      </c>
      <c r="N75" s="365"/>
      <c r="O75" s="363">
        <v>20</v>
      </c>
      <c r="P75" s="618">
        <f t="shared" si="50"/>
        <v>0</v>
      </c>
      <c r="Q75" s="364"/>
      <c r="R75" s="504">
        <f t="shared" ref="R75" si="128">IF(R26=0,0,1)</f>
        <v>0</v>
      </c>
      <c r="S75" s="364"/>
      <c r="T75" s="504">
        <f t="shared" ref="T75" si="129">IF(T26=0,0,1)</f>
        <v>0</v>
      </c>
      <c r="U75" s="365"/>
      <c r="V75" s="365"/>
      <c r="W75" s="366"/>
      <c r="X75" s="366"/>
      <c r="Y75" s="365"/>
      <c r="Z75" s="372"/>
      <c r="AA75" s="372"/>
      <c r="AB75" s="372"/>
      <c r="AC75" s="368"/>
      <c r="AD75" s="368"/>
      <c r="AE75" s="368"/>
      <c r="AF75" s="369"/>
      <c r="AG75" s="369"/>
      <c r="AH75" s="368"/>
      <c r="AI75" s="368"/>
    </row>
    <row r="76" spans="1:36" hidden="1" x14ac:dyDescent="0.2">
      <c r="A76" s="363">
        <v>21</v>
      </c>
      <c r="B76" s="618">
        <f t="shared" ref="B76" si="130">IF(B27=0,0,1)</f>
        <v>0</v>
      </c>
      <c r="C76" s="364"/>
      <c r="D76" s="504">
        <f t="shared" ref="D76:F77" si="131">IF(D27=0,0,1)</f>
        <v>0</v>
      </c>
      <c r="E76" s="364"/>
      <c r="F76" s="504">
        <f t="shared" si="131"/>
        <v>0</v>
      </c>
      <c r="G76" s="365"/>
      <c r="H76" s="363">
        <v>21</v>
      </c>
      <c r="I76" s="618">
        <f t="shared" si="47"/>
        <v>0</v>
      </c>
      <c r="J76" s="364"/>
      <c r="K76" s="504">
        <f t="shared" ref="K76" si="132">IF(K27=0,0,1)</f>
        <v>0</v>
      </c>
      <c r="L76" s="364"/>
      <c r="M76" s="504">
        <f t="shared" ref="M76" si="133">IF(M27=0,0,1)</f>
        <v>0</v>
      </c>
      <c r="N76" s="365"/>
      <c r="O76" s="363">
        <v>21</v>
      </c>
      <c r="P76" s="618">
        <f t="shared" si="50"/>
        <v>0</v>
      </c>
      <c r="Q76" s="364"/>
      <c r="R76" s="504">
        <f t="shared" ref="R76" si="134">IF(R27=0,0,1)</f>
        <v>0</v>
      </c>
      <c r="S76" s="364"/>
      <c r="T76" s="504">
        <f t="shared" ref="T76" si="135">IF(T27=0,0,1)</f>
        <v>0</v>
      </c>
      <c r="U76" s="365"/>
      <c r="V76" s="365"/>
      <c r="W76" s="366"/>
      <c r="X76" s="366"/>
      <c r="Y76" s="365"/>
      <c r="Z76" s="372"/>
      <c r="AA76" s="372"/>
      <c r="AB76" s="372"/>
      <c r="AC76" s="368"/>
      <c r="AD76" s="368"/>
      <c r="AE76" s="368"/>
      <c r="AF76" s="369"/>
      <c r="AG76" s="369"/>
      <c r="AH76" s="368"/>
      <c r="AI76" s="368"/>
    </row>
    <row r="77" spans="1:36" hidden="1" x14ac:dyDescent="0.2">
      <c r="A77" s="363">
        <v>22</v>
      </c>
      <c r="B77" s="504">
        <f t="shared" ref="B77" si="136">IF(B28=0,0,1)</f>
        <v>0</v>
      </c>
      <c r="C77" s="364"/>
      <c r="D77" s="504">
        <f t="shared" si="131"/>
        <v>0</v>
      </c>
      <c r="E77" s="364"/>
      <c r="F77" s="504">
        <f t="shared" si="131"/>
        <v>0</v>
      </c>
      <c r="G77" s="365"/>
      <c r="H77" s="363">
        <v>22</v>
      </c>
      <c r="I77" s="504">
        <f t="shared" si="47"/>
        <v>0</v>
      </c>
      <c r="J77" s="364"/>
      <c r="K77" s="504">
        <f t="shared" ref="K77" si="137">IF(K28=0,0,1)</f>
        <v>0</v>
      </c>
      <c r="L77" s="364"/>
      <c r="M77" s="504">
        <f t="shared" ref="M77" si="138">IF(M28=0,0,1)</f>
        <v>0</v>
      </c>
      <c r="N77" s="365"/>
      <c r="O77" s="363">
        <v>22</v>
      </c>
      <c r="P77" s="504">
        <f t="shared" si="50"/>
        <v>0</v>
      </c>
      <c r="Q77" s="364"/>
      <c r="R77" s="504">
        <f t="shared" ref="R77" si="139">IF(R28=0,0,1)</f>
        <v>0</v>
      </c>
      <c r="S77" s="364"/>
      <c r="T77" s="504">
        <f t="shared" ref="T77" si="140">IF(T28=0,0,1)</f>
        <v>0</v>
      </c>
      <c r="U77" s="365"/>
      <c r="V77" s="365"/>
      <c r="W77" s="366"/>
      <c r="X77" s="366"/>
      <c r="Y77" s="365"/>
      <c r="Z77" s="372"/>
      <c r="AA77" s="372"/>
      <c r="AB77" s="372"/>
      <c r="AC77" s="368"/>
      <c r="AD77" s="368"/>
      <c r="AE77" s="368"/>
      <c r="AF77" s="369"/>
      <c r="AG77" s="369"/>
      <c r="AH77" s="368"/>
      <c r="AI77" s="368"/>
    </row>
    <row r="78" spans="1:36" hidden="1" x14ac:dyDescent="0.2">
      <c r="A78" s="363">
        <v>23</v>
      </c>
      <c r="B78" s="504">
        <f t="shared" ref="B78" si="141">IF(B29=0,0,1)</f>
        <v>0</v>
      </c>
      <c r="C78" s="364"/>
      <c r="D78" s="504">
        <f t="shared" ref="D78:F78" si="142">IF(D29=0,0,1)</f>
        <v>0</v>
      </c>
      <c r="E78" s="364"/>
      <c r="F78" s="504">
        <f t="shared" si="142"/>
        <v>0</v>
      </c>
      <c r="G78" s="365"/>
      <c r="H78" s="363">
        <v>23</v>
      </c>
      <c r="I78" s="504">
        <f t="shared" si="47"/>
        <v>0</v>
      </c>
      <c r="J78" s="364"/>
      <c r="K78" s="504">
        <f t="shared" ref="K78" si="143">IF(K29=0,0,1)</f>
        <v>0</v>
      </c>
      <c r="L78" s="364"/>
      <c r="M78" s="504">
        <f t="shared" ref="M78" si="144">IF(M29=0,0,1)</f>
        <v>0</v>
      </c>
      <c r="N78" s="365"/>
      <c r="O78" s="363">
        <v>23</v>
      </c>
      <c r="P78" s="504">
        <f t="shared" si="50"/>
        <v>0</v>
      </c>
      <c r="Q78" s="364"/>
      <c r="R78" s="504">
        <f t="shared" ref="R78" si="145">IF(R29=0,0,1)</f>
        <v>0</v>
      </c>
      <c r="S78" s="364"/>
      <c r="T78" s="504">
        <f t="shared" ref="T78" si="146">IF(T29=0,0,1)</f>
        <v>0</v>
      </c>
      <c r="U78" s="365"/>
      <c r="V78" s="365"/>
      <c r="W78" s="366"/>
      <c r="X78" s="366"/>
      <c r="Y78" s="365"/>
      <c r="Z78" s="372"/>
      <c r="AA78" s="372"/>
      <c r="AB78" s="372"/>
      <c r="AC78" s="368"/>
      <c r="AD78" s="368"/>
      <c r="AE78" s="368"/>
      <c r="AF78" s="369"/>
      <c r="AG78" s="369"/>
      <c r="AH78" s="368"/>
      <c r="AI78" s="368"/>
    </row>
    <row r="79" spans="1:36" ht="15.75" hidden="1" thickBot="1" x14ac:dyDescent="0.25">
      <c r="A79" s="363">
        <v>24</v>
      </c>
      <c r="B79" s="504">
        <f t="shared" ref="B79" si="147">IF(B30=0,0,1)</f>
        <v>0</v>
      </c>
      <c r="C79" s="364"/>
      <c r="D79" s="504">
        <f t="shared" ref="D79:F79" si="148">IF(D30=0,0,1)</f>
        <v>0</v>
      </c>
      <c r="E79" s="364"/>
      <c r="F79" s="504">
        <f t="shared" si="148"/>
        <v>0</v>
      </c>
      <c r="G79" s="365"/>
      <c r="H79" s="363">
        <v>24</v>
      </c>
      <c r="I79" s="504">
        <f t="shared" si="47"/>
        <v>0</v>
      </c>
      <c r="J79" s="364"/>
      <c r="K79" s="504">
        <f t="shared" ref="K79" si="149">IF(K30=0,0,1)</f>
        <v>0</v>
      </c>
      <c r="L79" s="364"/>
      <c r="M79" s="504">
        <f t="shared" ref="M79" si="150">IF(M30=0,0,1)</f>
        <v>0</v>
      </c>
      <c r="N79" s="365"/>
      <c r="O79" s="363">
        <v>24</v>
      </c>
      <c r="P79" s="504">
        <f t="shared" si="50"/>
        <v>0</v>
      </c>
      <c r="Q79" s="364"/>
      <c r="R79" s="504">
        <f t="shared" ref="R79" si="151">IF(R30=0,0,1)</f>
        <v>0</v>
      </c>
      <c r="S79" s="364"/>
      <c r="T79" s="504">
        <f t="shared" ref="T79" si="152">IF(T30=0,0,1)</f>
        <v>0</v>
      </c>
      <c r="U79" s="365"/>
      <c r="V79" s="365"/>
      <c r="W79" s="366"/>
      <c r="X79" s="366"/>
      <c r="Y79" s="365"/>
      <c r="Z79" s="372"/>
      <c r="AA79" s="372"/>
      <c r="AB79" s="372"/>
      <c r="AC79" s="368"/>
      <c r="AD79" s="368"/>
      <c r="AE79" s="368"/>
      <c r="AF79" s="369"/>
      <c r="AG79" s="369"/>
      <c r="AH79" s="368"/>
      <c r="AI79" s="368"/>
    </row>
    <row r="80" spans="1:36" ht="16.5" hidden="1" thickBot="1" x14ac:dyDescent="0.3">
      <c r="A80" s="353"/>
      <c r="B80" s="353"/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353"/>
      <c r="O80" s="353"/>
      <c r="P80" s="353"/>
      <c r="Q80" s="353"/>
      <c r="R80" s="353"/>
      <c r="S80" s="353"/>
      <c r="T80" s="353"/>
      <c r="U80" s="353"/>
      <c r="V80" s="509" t="s">
        <v>403</v>
      </c>
      <c r="W80" s="403"/>
      <c r="X80" s="512">
        <f>COUNTIF(X56:X67,1)</f>
        <v>0</v>
      </c>
      <c r="Y80" s="495">
        <f>SUM(Y7:Y18)</f>
        <v>0</v>
      </c>
      <c r="Z80" s="361">
        <f>SUM(Z7:Z18)</f>
        <v>0</v>
      </c>
      <c r="AA80" s="358"/>
      <c r="AB80" s="358"/>
      <c r="AC80" s="359"/>
      <c r="AD80" s="353"/>
      <c r="AE80" s="353"/>
      <c r="AF80" s="354"/>
      <c r="AG80" s="354"/>
      <c r="AH80" s="353"/>
      <c r="AI80" s="353"/>
      <c r="AJ80" s="353"/>
    </row>
    <row r="81" spans="1:35" hidden="1" x14ac:dyDescent="0.2">
      <c r="A81" s="367"/>
      <c r="B81" s="367"/>
      <c r="C81" s="469"/>
      <c r="D81" s="368"/>
      <c r="E81" s="469"/>
      <c r="F81" s="368"/>
      <c r="G81" s="368"/>
      <c r="H81" s="367"/>
      <c r="I81" s="367"/>
      <c r="J81" s="469"/>
      <c r="K81" s="368"/>
      <c r="L81" s="469"/>
      <c r="M81" s="368"/>
      <c r="N81" s="368"/>
      <c r="O81" s="367"/>
      <c r="P81" s="367"/>
      <c r="Q81" s="469"/>
      <c r="R81" s="368"/>
      <c r="S81" s="621"/>
      <c r="T81" s="1262" t="s">
        <v>615</v>
      </c>
      <c r="U81" s="368"/>
      <c r="V81" s="505" t="s">
        <v>404</v>
      </c>
      <c r="W81" s="360"/>
      <c r="X81" s="447"/>
      <c r="Y81" s="447"/>
      <c r="Z81" s="508">
        <v>0</v>
      </c>
      <c r="AA81" s="451"/>
      <c r="AB81" s="451"/>
      <c r="AC81" s="353"/>
      <c r="AD81" s="368"/>
      <c r="AE81" s="368"/>
      <c r="AF81" s="369"/>
      <c r="AG81" s="369"/>
      <c r="AH81" s="368"/>
      <c r="AI81" s="368"/>
    </row>
    <row r="82" spans="1:35" hidden="1" x14ac:dyDescent="0.2">
      <c r="A82" s="471"/>
      <c r="B82" s="470"/>
      <c r="C82" s="367"/>
      <c r="D82" s="368"/>
      <c r="E82" s="367"/>
      <c r="F82" s="368"/>
      <c r="G82" s="368"/>
      <c r="H82" s="471"/>
      <c r="I82" s="470"/>
      <c r="J82" s="367"/>
      <c r="K82" s="368"/>
      <c r="L82" s="367"/>
      <c r="M82" s="368"/>
      <c r="N82" s="368"/>
      <c r="O82" s="471"/>
      <c r="P82" s="470"/>
      <c r="Q82" s="367"/>
      <c r="R82" s="368"/>
      <c r="S82" s="622"/>
      <c r="T82" s="1263"/>
      <c r="U82" s="368"/>
      <c r="V82" s="510" t="s">
        <v>405</v>
      </c>
      <c r="W82" s="353"/>
      <c r="X82" s="353"/>
      <c r="Y82" s="353"/>
      <c r="Z82" s="513">
        <v>0</v>
      </c>
      <c r="AA82" s="353"/>
      <c r="AB82" s="451"/>
      <c r="AC82" s="353"/>
      <c r="AD82" s="368"/>
      <c r="AE82" s="368"/>
      <c r="AF82" s="369"/>
      <c r="AG82" s="369"/>
      <c r="AH82" s="368"/>
      <c r="AI82" s="368"/>
    </row>
    <row r="83" spans="1:35" ht="15.75" hidden="1" thickBot="1" x14ac:dyDescent="0.25">
      <c r="A83" s="471"/>
      <c r="B83" s="470"/>
      <c r="C83" s="367"/>
      <c r="D83" s="368"/>
      <c r="E83" s="367"/>
      <c r="F83" s="368"/>
      <c r="G83" s="368"/>
      <c r="H83" s="471"/>
      <c r="I83" s="470"/>
      <c r="J83" s="367"/>
      <c r="K83" s="368"/>
      <c r="L83" s="367"/>
      <c r="M83" s="368"/>
      <c r="N83" s="368"/>
      <c r="O83" s="471"/>
      <c r="P83" s="470"/>
      <c r="Q83" s="367"/>
      <c r="R83" s="368"/>
      <c r="S83" s="622"/>
      <c r="T83" s="1263"/>
      <c r="U83" s="368"/>
      <c r="V83" s="530" t="s">
        <v>406</v>
      </c>
      <c r="W83" s="511"/>
      <c r="X83" s="409"/>
      <c r="Y83" s="409"/>
      <c r="Z83" s="506">
        <v>0</v>
      </c>
      <c r="AA83" s="353"/>
      <c r="AB83" s="353"/>
      <c r="AC83" s="353"/>
      <c r="AD83" s="368"/>
      <c r="AE83" s="368"/>
      <c r="AF83" s="369"/>
      <c r="AG83" s="369"/>
      <c r="AH83" s="368"/>
      <c r="AI83" s="368"/>
    </row>
    <row r="84" spans="1:35" hidden="1" x14ac:dyDescent="0.2">
      <c r="A84" s="471"/>
      <c r="B84" s="470"/>
      <c r="C84" s="367"/>
      <c r="D84" s="353"/>
      <c r="E84" s="367"/>
      <c r="F84" s="368"/>
      <c r="G84" s="368"/>
      <c r="H84" s="471"/>
      <c r="I84" s="470"/>
      <c r="J84" s="367"/>
      <c r="K84" s="353"/>
      <c r="L84" s="367"/>
      <c r="M84" s="368"/>
      <c r="N84" s="368"/>
      <c r="O84" s="471"/>
      <c r="P84" s="470"/>
      <c r="Q84" s="367"/>
      <c r="R84" s="353"/>
      <c r="S84" s="622"/>
      <c r="T84" s="1263"/>
      <c r="U84" s="368"/>
      <c r="V84" s="505" t="s">
        <v>407</v>
      </c>
      <c r="W84" s="447"/>
      <c r="X84" s="447"/>
      <c r="Y84" s="447"/>
      <c r="Z84" s="521">
        <f>$Y$10/7*SUM(I32*5,K32,M32)</f>
        <v>0</v>
      </c>
      <c r="AA84" s="368"/>
      <c r="AB84" s="368"/>
      <c r="AC84" s="368"/>
      <c r="AD84" s="368"/>
      <c r="AE84" s="368"/>
      <c r="AF84" s="369"/>
      <c r="AG84" s="369"/>
      <c r="AH84" s="368"/>
      <c r="AI84" s="368"/>
    </row>
    <row r="85" spans="1:35" hidden="1" x14ac:dyDescent="0.2">
      <c r="A85" s="471"/>
      <c r="B85" s="470"/>
      <c r="C85" s="367"/>
      <c r="D85" s="368"/>
      <c r="E85" s="367"/>
      <c r="F85" s="368"/>
      <c r="G85" s="368"/>
      <c r="H85" s="471"/>
      <c r="I85" s="470"/>
      <c r="J85" s="367"/>
      <c r="K85" s="368"/>
      <c r="L85" s="367"/>
      <c r="M85" s="368"/>
      <c r="N85" s="368"/>
      <c r="O85" s="471"/>
      <c r="P85" s="470"/>
      <c r="Q85" s="367"/>
      <c r="R85" s="368"/>
      <c r="S85" s="622"/>
      <c r="T85" s="1263"/>
      <c r="U85" s="368"/>
      <c r="V85" s="510" t="s">
        <v>408</v>
      </c>
      <c r="W85" s="360"/>
      <c r="X85" s="353"/>
      <c r="Y85" s="353"/>
      <c r="Z85" s="513">
        <f>$Y$10/7*SUM(I33*5,K33,M33)</f>
        <v>0</v>
      </c>
      <c r="AA85" s="368"/>
      <c r="AB85" s="525"/>
      <c r="AC85" s="368"/>
      <c r="AD85" s="368"/>
      <c r="AE85" s="368"/>
      <c r="AF85" s="369"/>
      <c r="AG85" s="369"/>
      <c r="AH85" s="368"/>
      <c r="AI85" s="368"/>
    </row>
    <row r="86" spans="1:35" ht="15.75" hidden="1" thickBot="1" x14ac:dyDescent="0.25">
      <c r="A86" s="471"/>
      <c r="B86" s="470"/>
      <c r="C86" s="367"/>
      <c r="D86" s="368"/>
      <c r="E86" s="367"/>
      <c r="F86" s="368"/>
      <c r="G86" s="368"/>
      <c r="H86" s="471"/>
      <c r="I86" s="470"/>
      <c r="J86" s="367"/>
      <c r="K86" s="368"/>
      <c r="L86" s="367"/>
      <c r="M86" s="368"/>
      <c r="N86" s="368"/>
      <c r="O86" s="471"/>
      <c r="P86" s="470"/>
      <c r="Q86" s="367"/>
      <c r="R86" s="368"/>
      <c r="S86" s="622"/>
      <c r="T86" s="1263"/>
      <c r="U86" s="368"/>
      <c r="V86" s="530" t="s">
        <v>409</v>
      </c>
      <c r="W86" s="409"/>
      <c r="X86" s="409"/>
      <c r="Y86" s="409"/>
      <c r="Z86" s="524">
        <f>$Y$10/7*SUM(I34*5,K34,M34)</f>
        <v>0</v>
      </c>
      <c r="AA86" s="368"/>
      <c r="AB86" s="368"/>
      <c r="AC86" s="368"/>
      <c r="AD86" s="368"/>
      <c r="AE86" s="368"/>
      <c r="AF86" s="369"/>
      <c r="AG86" s="369"/>
      <c r="AH86" s="368"/>
      <c r="AI86" s="368"/>
    </row>
    <row r="87" spans="1:35" hidden="1" x14ac:dyDescent="0.2">
      <c r="A87" s="471"/>
      <c r="B87" s="470"/>
      <c r="C87" s="367"/>
      <c r="D87" s="368"/>
      <c r="E87" s="367"/>
      <c r="F87" s="368"/>
      <c r="G87" s="368"/>
      <c r="H87" s="471"/>
      <c r="I87" s="470"/>
      <c r="J87" s="367"/>
      <c r="K87" s="368"/>
      <c r="L87" s="367"/>
      <c r="M87" s="368"/>
      <c r="N87" s="368"/>
      <c r="O87" s="471"/>
      <c r="P87" s="470"/>
      <c r="Q87" s="367"/>
      <c r="R87" s="368"/>
      <c r="S87" s="622"/>
      <c r="T87" s="1263"/>
      <c r="U87" s="368"/>
      <c r="V87" s="505" t="s">
        <v>410</v>
      </c>
      <c r="W87" s="447"/>
      <c r="X87" s="447"/>
      <c r="Y87" s="447"/>
      <c r="Z87" s="521">
        <f>($Y$80-$Y$10)/7*SUM(P32*5,R32,T32)</f>
        <v>0</v>
      </c>
      <c r="AA87" s="368"/>
      <c r="AB87" s="368"/>
      <c r="AC87" s="368"/>
      <c r="AD87" s="368"/>
      <c r="AE87" s="368"/>
      <c r="AF87" s="369"/>
      <c r="AG87" s="369"/>
      <c r="AH87" s="368"/>
      <c r="AI87" s="368"/>
    </row>
    <row r="88" spans="1:35" hidden="1" x14ac:dyDescent="0.2">
      <c r="A88" s="471"/>
      <c r="B88" s="470"/>
      <c r="C88" s="367"/>
      <c r="D88" s="368"/>
      <c r="E88" s="367"/>
      <c r="F88" s="368"/>
      <c r="G88" s="368"/>
      <c r="H88" s="471"/>
      <c r="I88" s="470"/>
      <c r="J88" s="367"/>
      <c r="K88" s="368"/>
      <c r="L88" s="367"/>
      <c r="M88" s="368"/>
      <c r="N88" s="368"/>
      <c r="O88" s="471"/>
      <c r="P88" s="470"/>
      <c r="Q88" s="367"/>
      <c r="R88" s="368"/>
      <c r="S88" s="622"/>
      <c r="T88" s="1263"/>
      <c r="U88" s="368"/>
      <c r="V88" s="510" t="s">
        <v>411</v>
      </c>
      <c r="W88" s="360"/>
      <c r="X88" s="353"/>
      <c r="Y88" s="353"/>
      <c r="Z88" s="522">
        <f>($Y$80-$Y$10)/7*SUM(P33*5,R33,T33)</f>
        <v>0</v>
      </c>
      <c r="AA88" s="368"/>
      <c r="AB88" s="368"/>
      <c r="AC88" s="368"/>
      <c r="AD88" s="368"/>
      <c r="AE88" s="368"/>
      <c r="AF88" s="369"/>
      <c r="AG88" s="369"/>
      <c r="AH88" s="368"/>
      <c r="AI88" s="368"/>
    </row>
    <row r="89" spans="1:35" ht="15.75" hidden="1" thickBot="1" x14ac:dyDescent="0.25">
      <c r="A89" s="471"/>
      <c r="B89" s="470"/>
      <c r="C89" s="367"/>
      <c r="D89" s="368"/>
      <c r="E89" s="367"/>
      <c r="F89" s="368"/>
      <c r="G89" s="368"/>
      <c r="H89" s="471"/>
      <c r="I89" s="470"/>
      <c r="J89" s="367"/>
      <c r="K89" s="368"/>
      <c r="L89" s="367"/>
      <c r="M89" s="368"/>
      <c r="N89" s="368"/>
      <c r="O89" s="471"/>
      <c r="P89" s="470"/>
      <c r="Q89" s="367"/>
      <c r="R89" s="368"/>
      <c r="S89" s="622"/>
      <c r="T89" s="1264"/>
      <c r="U89" s="368"/>
      <c r="V89" s="528" t="s">
        <v>412</v>
      </c>
      <c r="W89" s="409"/>
      <c r="X89" s="409"/>
      <c r="Y89" s="409"/>
      <c r="Z89" s="506">
        <f>($Y$80-$Y$10)/7*SUM(P34*5,R34,T34)</f>
        <v>0</v>
      </c>
      <c r="AA89" s="368"/>
      <c r="AB89" s="368"/>
      <c r="AC89" s="368"/>
      <c r="AD89" s="368"/>
      <c r="AE89" s="368"/>
      <c r="AF89" s="369"/>
      <c r="AG89" s="369"/>
      <c r="AH89" s="368"/>
      <c r="AI89" s="368"/>
    </row>
    <row r="90" spans="1:35" ht="15.75" hidden="1" thickBot="1" x14ac:dyDescent="0.25">
      <c r="A90" s="471"/>
      <c r="B90" s="470"/>
      <c r="C90" s="367"/>
      <c r="D90" s="368"/>
      <c r="E90" s="367"/>
      <c r="F90" s="368"/>
      <c r="G90" s="368"/>
      <c r="H90" s="471"/>
      <c r="I90" s="470"/>
      <c r="J90" s="367"/>
      <c r="K90" s="368"/>
      <c r="L90" s="367"/>
      <c r="M90" s="368"/>
      <c r="N90" s="368"/>
      <c r="O90" s="471"/>
      <c r="P90" s="470"/>
      <c r="Q90" s="367"/>
      <c r="R90" s="368"/>
      <c r="S90" s="620"/>
      <c r="T90" s="368"/>
      <c r="U90" s="368"/>
      <c r="V90" s="391"/>
      <c r="W90" s="368"/>
      <c r="X90" s="368"/>
      <c r="Y90" s="368"/>
      <c r="Z90" s="447"/>
      <c r="AA90" s="368"/>
      <c r="AB90" s="368"/>
      <c r="AC90" s="368"/>
      <c r="AD90" s="368"/>
      <c r="AE90" s="368"/>
      <c r="AF90" s="369"/>
      <c r="AG90" s="369"/>
      <c r="AH90" s="368"/>
      <c r="AI90" s="368"/>
    </row>
    <row r="91" spans="1:35" ht="16.5" hidden="1" thickBot="1" x14ac:dyDescent="0.3">
      <c r="A91" s="471"/>
      <c r="B91" s="470"/>
      <c r="C91" s="367"/>
      <c r="D91" s="368"/>
      <c r="E91" s="367"/>
      <c r="F91" s="368"/>
      <c r="G91" s="368"/>
      <c r="H91" s="471"/>
      <c r="I91" s="470"/>
      <c r="J91" s="367"/>
      <c r="K91" s="368"/>
      <c r="L91" s="367"/>
      <c r="M91" s="368"/>
      <c r="N91" s="368"/>
      <c r="O91" s="471"/>
      <c r="P91" s="470"/>
      <c r="Q91" s="367"/>
      <c r="R91" s="368"/>
      <c r="S91" s="367"/>
      <c r="T91" s="368"/>
      <c r="U91" s="368"/>
      <c r="V91" s="356" t="s">
        <v>424</v>
      </c>
      <c r="W91" s="360"/>
      <c r="X91" s="358"/>
      <c r="Y91" s="358"/>
      <c r="Z91" s="514"/>
      <c r="AA91" s="356">
        <f>COUNTIF(Y56:Y67,1)</f>
        <v>0</v>
      </c>
      <c r="AB91" s="531">
        <f>SUM(AB7:AB18)</f>
        <v>0</v>
      </c>
      <c r="AC91" s="361">
        <f>SUM(AC7:AC18)</f>
        <v>0</v>
      </c>
      <c r="AD91" s="368"/>
      <c r="AE91" s="368"/>
      <c r="AF91" s="369"/>
      <c r="AG91" s="369"/>
      <c r="AH91" s="368"/>
      <c r="AI91" s="368"/>
    </row>
    <row r="92" spans="1:35" hidden="1" x14ac:dyDescent="0.2">
      <c r="A92" s="368"/>
      <c r="B92" s="368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1262" t="s">
        <v>615</v>
      </c>
      <c r="U92" s="368"/>
      <c r="V92" s="505" t="s">
        <v>404</v>
      </c>
      <c r="W92" s="353"/>
      <c r="X92" s="353"/>
      <c r="Y92" s="353"/>
      <c r="Z92" s="353"/>
      <c r="AA92" s="447"/>
      <c r="AB92" s="447"/>
      <c r="AC92" s="521">
        <f>$AB$91/7*SUM(B32*5,D32,F32)</f>
        <v>0</v>
      </c>
      <c r="AD92" s="368"/>
      <c r="AE92" s="368"/>
      <c r="AF92" s="369"/>
      <c r="AG92" s="369"/>
      <c r="AH92" s="368"/>
      <c r="AI92" s="368"/>
    </row>
    <row r="93" spans="1:35" hidden="1" x14ac:dyDescent="0.2">
      <c r="A93" s="368"/>
      <c r="B93" s="368"/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1263"/>
      <c r="U93" s="368"/>
      <c r="V93" s="510" t="s">
        <v>405</v>
      </c>
      <c r="W93" s="353"/>
      <c r="X93" s="353"/>
      <c r="Y93" s="353"/>
      <c r="Z93" s="353"/>
      <c r="AA93" s="353"/>
      <c r="AB93" s="353"/>
      <c r="AC93" s="513">
        <f>$AB$91/7*SUM(B33*5,D33,F33)</f>
        <v>0</v>
      </c>
      <c r="AD93" s="368"/>
      <c r="AE93" s="368"/>
      <c r="AF93" s="369"/>
      <c r="AG93" s="369"/>
      <c r="AH93" s="368"/>
      <c r="AI93" s="368"/>
    </row>
    <row r="94" spans="1:35" ht="15.75" hidden="1" thickBot="1" x14ac:dyDescent="0.25">
      <c r="A94" s="368"/>
      <c r="B94" s="368"/>
      <c r="C94" s="368"/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1263"/>
      <c r="U94" s="368"/>
      <c r="V94" s="530" t="s">
        <v>406</v>
      </c>
      <c r="W94" s="409"/>
      <c r="X94" s="409"/>
      <c r="Y94" s="409"/>
      <c r="Z94" s="409"/>
      <c r="AA94" s="409"/>
      <c r="AB94" s="409"/>
      <c r="AC94" s="523">
        <f>$AB$91/7*SUM(B34*5,D34,F34)</f>
        <v>0</v>
      </c>
      <c r="AD94" s="368"/>
      <c r="AE94" s="368"/>
      <c r="AF94" s="369"/>
      <c r="AG94" s="369"/>
      <c r="AH94" s="368"/>
      <c r="AI94" s="368"/>
    </row>
    <row r="95" spans="1:35" hidden="1" x14ac:dyDescent="0.2">
      <c r="A95" s="368"/>
      <c r="B95" s="368"/>
      <c r="C95" s="368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1263"/>
      <c r="U95" s="368"/>
      <c r="V95" s="505" t="s">
        <v>407</v>
      </c>
      <c r="W95" s="447"/>
      <c r="X95" s="447"/>
      <c r="Y95" s="447"/>
      <c r="Z95" s="447"/>
      <c r="AA95" s="447"/>
      <c r="AB95" s="447"/>
      <c r="AC95" s="521">
        <v>0</v>
      </c>
      <c r="AD95" s="368"/>
      <c r="AE95" s="368"/>
      <c r="AF95" s="369"/>
      <c r="AG95" s="369"/>
      <c r="AH95" s="368"/>
      <c r="AI95" s="368"/>
    </row>
    <row r="96" spans="1:35" hidden="1" x14ac:dyDescent="0.2">
      <c r="A96" s="368"/>
      <c r="B96" s="368"/>
      <c r="C96" s="368"/>
      <c r="D96" s="368"/>
      <c r="E96" s="368"/>
      <c r="F96" s="368"/>
      <c r="G96" s="368"/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1263"/>
      <c r="U96" s="368"/>
      <c r="V96" s="510" t="s">
        <v>408</v>
      </c>
      <c r="W96" s="353"/>
      <c r="X96" s="353"/>
      <c r="Y96" s="353"/>
      <c r="Z96" s="353"/>
      <c r="AA96" s="353"/>
      <c r="AB96" s="353"/>
      <c r="AC96" s="513">
        <v>0</v>
      </c>
      <c r="AD96" s="368"/>
      <c r="AE96" s="368"/>
      <c r="AF96" s="369"/>
      <c r="AG96" s="369"/>
      <c r="AH96" s="368"/>
      <c r="AI96" s="368"/>
    </row>
    <row r="97" spans="1:35" ht="15.75" hidden="1" thickBot="1" x14ac:dyDescent="0.25">
      <c r="A97" s="368"/>
      <c r="B97" s="368"/>
      <c r="C97" s="368"/>
      <c r="D97" s="368"/>
      <c r="E97" s="368"/>
      <c r="F97" s="368"/>
      <c r="G97" s="368"/>
      <c r="H97" s="368"/>
      <c r="I97" s="368"/>
      <c r="J97" s="368"/>
      <c r="K97" s="368"/>
      <c r="L97" s="368"/>
      <c r="M97" s="368"/>
      <c r="N97" s="368"/>
      <c r="O97" s="368"/>
      <c r="P97" s="368"/>
      <c r="Q97" s="368"/>
      <c r="R97" s="368"/>
      <c r="S97" s="368"/>
      <c r="T97" s="1263"/>
      <c r="U97" s="368"/>
      <c r="V97" s="530" t="s">
        <v>409</v>
      </c>
      <c r="W97" s="409"/>
      <c r="X97" s="409"/>
      <c r="Y97" s="409"/>
      <c r="Z97" s="409"/>
      <c r="AA97" s="409"/>
      <c r="AB97" s="409"/>
      <c r="AC97" s="523">
        <v>0</v>
      </c>
      <c r="AD97" s="368"/>
      <c r="AE97" s="368"/>
      <c r="AF97" s="369"/>
      <c r="AG97" s="369"/>
      <c r="AH97" s="368"/>
      <c r="AI97" s="368"/>
    </row>
    <row r="98" spans="1:35" hidden="1" x14ac:dyDescent="0.2">
      <c r="A98" s="368"/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1263"/>
      <c r="U98" s="368"/>
      <c r="V98" s="505" t="s">
        <v>410</v>
      </c>
      <c r="W98" s="447"/>
      <c r="X98" s="447"/>
      <c r="Y98" s="447"/>
      <c r="Z98" s="447"/>
      <c r="AA98" s="447"/>
      <c r="AB98" s="447"/>
      <c r="AC98" s="508">
        <v>0</v>
      </c>
      <c r="AD98" s="368"/>
      <c r="AE98" s="368"/>
      <c r="AF98" s="369"/>
      <c r="AG98" s="369"/>
      <c r="AH98" s="368"/>
      <c r="AI98" s="368"/>
    </row>
    <row r="99" spans="1:35" hidden="1" x14ac:dyDescent="0.2">
      <c r="A99" s="368"/>
      <c r="B99" s="368"/>
      <c r="C99" s="368"/>
      <c r="D99" s="368"/>
      <c r="E99" s="368"/>
      <c r="F99" s="368"/>
      <c r="G99" s="368"/>
      <c r="H99" s="368"/>
      <c r="I99" s="368"/>
      <c r="J99" s="368"/>
      <c r="K99" s="368"/>
      <c r="L99" s="368"/>
      <c r="M99" s="368"/>
      <c r="N99" s="368"/>
      <c r="O99" s="368"/>
      <c r="P99" s="368"/>
      <c r="Q99" s="368"/>
      <c r="R99" s="368"/>
      <c r="S99" s="368"/>
      <c r="T99" s="1263"/>
      <c r="U99" s="368"/>
      <c r="V99" s="510" t="s">
        <v>411</v>
      </c>
      <c r="W99" s="353"/>
      <c r="X99" s="353"/>
      <c r="Y99" s="353"/>
      <c r="Z99" s="353"/>
      <c r="AA99" s="353"/>
      <c r="AB99" s="353"/>
      <c r="AC99" s="513">
        <v>0</v>
      </c>
      <c r="AD99" s="368"/>
      <c r="AE99" s="368"/>
      <c r="AF99" s="369"/>
      <c r="AG99" s="369"/>
      <c r="AH99" s="368"/>
      <c r="AI99" s="368"/>
    </row>
    <row r="100" spans="1:35" ht="15.75" hidden="1" thickBot="1" x14ac:dyDescent="0.25">
      <c r="A100" s="368"/>
      <c r="B100" s="368"/>
      <c r="C100" s="368"/>
      <c r="D100" s="368"/>
      <c r="E100" s="368"/>
      <c r="F100" s="368"/>
      <c r="G100" s="368"/>
      <c r="H100" s="368"/>
      <c r="I100" s="368"/>
      <c r="J100" s="368"/>
      <c r="K100" s="368"/>
      <c r="L100" s="368"/>
      <c r="M100" s="368"/>
      <c r="N100" s="368"/>
      <c r="O100" s="368"/>
      <c r="P100" s="368"/>
      <c r="Q100" s="368"/>
      <c r="R100" s="368"/>
      <c r="S100" s="368"/>
      <c r="T100" s="1264"/>
      <c r="U100" s="368"/>
      <c r="V100" s="528" t="s">
        <v>412</v>
      </c>
      <c r="W100" s="409"/>
      <c r="X100" s="409"/>
      <c r="Y100" s="409"/>
      <c r="Z100" s="409"/>
      <c r="AA100" s="409"/>
      <c r="AB100" s="409"/>
      <c r="AC100" s="506">
        <v>0</v>
      </c>
      <c r="AD100" s="368"/>
      <c r="AE100" s="368"/>
      <c r="AF100" s="369"/>
      <c r="AG100" s="369"/>
      <c r="AH100" s="368"/>
      <c r="AI100" s="368"/>
    </row>
    <row r="101" spans="1:35" ht="15.75" hidden="1" thickBot="1" x14ac:dyDescent="0.25">
      <c r="A101" s="368"/>
      <c r="B101" s="368"/>
      <c r="C101" s="368"/>
      <c r="D101" s="368"/>
      <c r="E101" s="368"/>
      <c r="F101" s="368"/>
      <c r="G101" s="368"/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91"/>
      <c r="W101" s="368"/>
      <c r="X101" s="368"/>
      <c r="Y101" s="368"/>
      <c r="Z101" s="353"/>
      <c r="AA101" s="353"/>
      <c r="AB101" s="353"/>
      <c r="AC101" s="353"/>
      <c r="AD101" s="368"/>
      <c r="AE101" s="368"/>
      <c r="AF101" s="369"/>
      <c r="AG101" s="369"/>
      <c r="AH101" s="368"/>
      <c r="AI101" s="368"/>
    </row>
    <row r="102" spans="1:35" ht="16.5" hidden="1" thickBot="1" x14ac:dyDescent="0.3">
      <c r="A102" s="368"/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1227" t="s">
        <v>422</v>
      </c>
      <c r="W102" s="1228"/>
      <c r="X102" s="516"/>
      <c r="Y102" s="356">
        <f>SUM(Y80,AB91)</f>
        <v>0</v>
      </c>
      <c r="Z102" s="353"/>
      <c r="AA102" s="353"/>
      <c r="AB102" s="353"/>
      <c r="AC102" s="353"/>
      <c r="AD102" s="368"/>
      <c r="AE102" s="368"/>
      <c r="AF102" s="369"/>
      <c r="AG102" s="369"/>
      <c r="AH102" s="368"/>
      <c r="AI102" s="368"/>
    </row>
    <row r="103" spans="1:35" ht="16.5" hidden="1" thickBot="1" x14ac:dyDescent="0.3">
      <c r="A103" s="368"/>
      <c r="B103" s="368"/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1229" t="s">
        <v>423</v>
      </c>
      <c r="W103" s="1230"/>
      <c r="X103" s="515"/>
      <c r="Y103" s="357">
        <f t="shared" ref="Y103:Y112" si="153">SUM(Z80,AC91)</f>
        <v>0</v>
      </c>
      <c r="Z103" s="353"/>
      <c r="AA103" s="353"/>
      <c r="AB103" s="353"/>
      <c r="AC103" s="353"/>
      <c r="AD103" s="368"/>
      <c r="AE103" s="368"/>
      <c r="AF103" s="369"/>
      <c r="AG103" s="369"/>
      <c r="AH103" s="368"/>
      <c r="AI103" s="368"/>
    </row>
    <row r="104" spans="1:35" hidden="1" x14ac:dyDescent="0.2">
      <c r="A104" s="368"/>
      <c r="B104" s="368"/>
      <c r="C104" s="368"/>
      <c r="D104" s="368"/>
      <c r="E104" s="368"/>
      <c r="F104" s="368"/>
      <c r="G104" s="368"/>
      <c r="H104" s="368"/>
      <c r="I104" s="368"/>
      <c r="J104" s="368"/>
      <c r="K104" s="368"/>
      <c r="L104" s="368"/>
      <c r="M104" s="368"/>
      <c r="N104" s="368"/>
      <c r="O104" s="368"/>
      <c r="P104" s="368"/>
      <c r="Q104" s="368"/>
      <c r="R104" s="368"/>
      <c r="S104" s="368"/>
      <c r="T104" s="1262" t="s">
        <v>615</v>
      </c>
      <c r="U104" s="368"/>
      <c r="V104" s="1256" t="s">
        <v>413</v>
      </c>
      <c r="W104" s="1257"/>
      <c r="X104" s="529"/>
      <c r="Y104" s="518">
        <f t="shared" si="153"/>
        <v>0</v>
      </c>
      <c r="Z104" s="353"/>
      <c r="AA104" s="353"/>
      <c r="AB104" s="353"/>
      <c r="AC104" s="353"/>
      <c r="AD104" s="368"/>
      <c r="AE104" s="368"/>
      <c r="AF104" s="369"/>
      <c r="AG104" s="369"/>
      <c r="AH104" s="368"/>
      <c r="AI104" s="368"/>
    </row>
    <row r="105" spans="1:35" hidden="1" x14ac:dyDescent="0.2">
      <c r="A105" s="368"/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1263"/>
      <c r="U105" s="368"/>
      <c r="V105" s="1258" t="s">
        <v>414</v>
      </c>
      <c r="W105" s="1259"/>
      <c r="X105" s="353"/>
      <c r="Y105" s="519">
        <f t="shared" si="153"/>
        <v>0</v>
      </c>
      <c r="Z105" s="353"/>
      <c r="AA105" s="353"/>
      <c r="AB105" s="353"/>
      <c r="AC105" s="353"/>
      <c r="AD105" s="368"/>
      <c r="AE105" s="368"/>
      <c r="AF105" s="369"/>
      <c r="AG105" s="369"/>
      <c r="AH105" s="368"/>
      <c r="AI105" s="368"/>
    </row>
    <row r="106" spans="1:35" ht="15.75" hidden="1" thickBot="1" x14ac:dyDescent="0.25">
      <c r="A106" s="368"/>
      <c r="B106" s="368"/>
      <c r="C106" s="368"/>
      <c r="D106" s="368"/>
      <c r="E106" s="368"/>
      <c r="F106" s="368"/>
      <c r="G106" s="368"/>
      <c r="H106" s="368"/>
      <c r="I106" s="368"/>
      <c r="J106" s="368"/>
      <c r="K106" s="368"/>
      <c r="L106" s="368"/>
      <c r="M106" s="368"/>
      <c r="N106" s="368"/>
      <c r="O106" s="368"/>
      <c r="P106" s="368"/>
      <c r="Q106" s="368"/>
      <c r="R106" s="368"/>
      <c r="S106" s="368"/>
      <c r="T106" s="1263"/>
      <c r="U106" s="368"/>
      <c r="V106" s="1260" t="s">
        <v>415</v>
      </c>
      <c r="W106" s="1261"/>
      <c r="X106" s="360"/>
      <c r="Y106" s="507">
        <f t="shared" si="153"/>
        <v>0</v>
      </c>
      <c r="Z106" s="353"/>
      <c r="AA106" s="353"/>
      <c r="AB106" s="353"/>
      <c r="AC106" s="353"/>
      <c r="AD106" s="368"/>
      <c r="AE106" s="368"/>
      <c r="AF106" s="369"/>
      <c r="AG106" s="369"/>
      <c r="AH106" s="368"/>
      <c r="AI106" s="368"/>
    </row>
    <row r="107" spans="1:35" hidden="1" x14ac:dyDescent="0.2">
      <c r="A107" s="368"/>
      <c r="B107" s="368"/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  <c r="N107" s="368"/>
      <c r="O107" s="368"/>
      <c r="P107" s="368"/>
      <c r="Q107" s="368"/>
      <c r="R107" s="368"/>
      <c r="S107" s="368"/>
      <c r="T107" s="1263"/>
      <c r="U107" s="368"/>
      <c r="V107" s="1256" t="s">
        <v>416</v>
      </c>
      <c r="W107" s="1257"/>
      <c r="X107" s="447"/>
      <c r="Y107" s="527">
        <f t="shared" si="153"/>
        <v>0</v>
      </c>
      <c r="Z107" s="368"/>
      <c r="AA107" s="368"/>
      <c r="AB107" s="368"/>
      <c r="AC107" s="368"/>
      <c r="AD107" s="368"/>
      <c r="AE107" s="368"/>
      <c r="AF107" s="369"/>
      <c r="AG107" s="369"/>
      <c r="AH107" s="368"/>
      <c r="AI107" s="368"/>
    </row>
    <row r="108" spans="1:35" hidden="1" x14ac:dyDescent="0.2">
      <c r="A108" s="368"/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1263"/>
      <c r="U108" s="368"/>
      <c r="V108" s="1258" t="s">
        <v>417</v>
      </c>
      <c r="W108" s="1259"/>
      <c r="X108" s="360"/>
      <c r="Y108" s="526">
        <f t="shared" si="153"/>
        <v>0</v>
      </c>
      <c r="Z108" s="368"/>
      <c r="AA108" s="368"/>
      <c r="AB108" s="368"/>
      <c r="AC108" s="368"/>
      <c r="AD108" s="368"/>
      <c r="AE108" s="368"/>
      <c r="AF108" s="369"/>
      <c r="AG108" s="369"/>
      <c r="AH108" s="368"/>
      <c r="AI108" s="368"/>
    </row>
    <row r="109" spans="1:35" ht="15.75" hidden="1" thickBot="1" x14ac:dyDescent="0.25">
      <c r="A109" s="368"/>
      <c r="B109" s="368"/>
      <c r="C109" s="368"/>
      <c r="D109" s="368"/>
      <c r="E109" s="368"/>
      <c r="F109" s="368"/>
      <c r="G109" s="368"/>
      <c r="H109" s="368"/>
      <c r="I109" s="368"/>
      <c r="J109" s="368"/>
      <c r="K109" s="368"/>
      <c r="L109" s="368"/>
      <c r="M109" s="368"/>
      <c r="N109" s="368"/>
      <c r="O109" s="368"/>
      <c r="P109" s="368"/>
      <c r="Q109" s="368"/>
      <c r="R109" s="368"/>
      <c r="S109" s="368"/>
      <c r="T109" s="1263"/>
      <c r="U109" s="368"/>
      <c r="V109" s="1260" t="s">
        <v>418</v>
      </c>
      <c r="W109" s="1261"/>
      <c r="X109" s="409"/>
      <c r="Y109" s="517">
        <f t="shared" si="153"/>
        <v>0</v>
      </c>
      <c r="Z109" s="368"/>
      <c r="AA109" s="368"/>
      <c r="AB109" s="368"/>
      <c r="AC109" s="368"/>
      <c r="AD109" s="368"/>
      <c r="AE109" s="368"/>
      <c r="AF109" s="369"/>
      <c r="AG109" s="369"/>
      <c r="AH109" s="368"/>
      <c r="AI109" s="368"/>
    </row>
    <row r="110" spans="1:35" hidden="1" x14ac:dyDescent="0.2">
      <c r="A110" s="368"/>
      <c r="B110" s="368"/>
      <c r="C110" s="368"/>
      <c r="D110" s="368"/>
      <c r="E110" s="368"/>
      <c r="F110" s="368"/>
      <c r="G110" s="368"/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1263"/>
      <c r="U110" s="368"/>
      <c r="V110" s="1256" t="s">
        <v>419</v>
      </c>
      <c r="W110" s="1257"/>
      <c r="X110" s="353"/>
      <c r="Y110" s="518">
        <f t="shared" si="153"/>
        <v>0</v>
      </c>
      <c r="Z110" s="368"/>
      <c r="AA110" s="368"/>
      <c r="AB110" s="368"/>
      <c r="AC110" s="368"/>
      <c r="AD110" s="368"/>
      <c r="AE110" s="368"/>
      <c r="AF110" s="369"/>
      <c r="AG110" s="369"/>
      <c r="AH110" s="368"/>
      <c r="AI110" s="368"/>
    </row>
    <row r="111" spans="1:35" hidden="1" x14ac:dyDescent="0.2">
      <c r="A111" s="368"/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1263"/>
      <c r="U111" s="368"/>
      <c r="V111" s="1258" t="s">
        <v>420</v>
      </c>
      <c r="W111" s="1259"/>
      <c r="X111" s="360"/>
      <c r="Y111" s="526">
        <f t="shared" si="153"/>
        <v>0</v>
      </c>
      <c r="Z111" s="368"/>
      <c r="AA111" s="368"/>
      <c r="AB111" s="368"/>
      <c r="AC111" s="368"/>
      <c r="AD111" s="368"/>
      <c r="AE111" s="368"/>
      <c r="AF111" s="369"/>
      <c r="AG111" s="369"/>
      <c r="AH111" s="368"/>
      <c r="AI111" s="368"/>
    </row>
    <row r="112" spans="1:35" ht="15.75" hidden="1" thickBot="1" x14ac:dyDescent="0.25">
      <c r="A112" s="368"/>
      <c r="B112" s="368"/>
      <c r="C112" s="368"/>
      <c r="D112" s="368"/>
      <c r="E112" s="368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1264"/>
      <c r="U112" s="368"/>
      <c r="V112" s="1260" t="s">
        <v>421</v>
      </c>
      <c r="W112" s="1261"/>
      <c r="X112" s="520"/>
      <c r="Y112" s="517">
        <f t="shared" si="153"/>
        <v>0</v>
      </c>
      <c r="Z112" s="368"/>
      <c r="AA112" s="368"/>
      <c r="AB112" s="368"/>
      <c r="AC112" s="368"/>
      <c r="AD112" s="368"/>
      <c r="AE112" s="368"/>
      <c r="AF112" s="369"/>
      <c r="AG112" s="369"/>
      <c r="AH112" s="368"/>
      <c r="AI112" s="368"/>
    </row>
    <row r="113" spans="1:35" x14ac:dyDescent="0.2">
      <c r="A113" s="368"/>
      <c r="B113" s="368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9"/>
      <c r="AG113" s="369"/>
      <c r="AH113" s="368"/>
      <c r="AI113" s="368"/>
    </row>
    <row r="114" spans="1:35" x14ac:dyDescent="0.2">
      <c r="A114" s="368"/>
      <c r="B114" s="368"/>
      <c r="C114" s="368"/>
      <c r="D114" s="368"/>
      <c r="E114" s="368"/>
      <c r="F114" s="368"/>
      <c r="G114" s="368"/>
      <c r="H114" s="368"/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9"/>
      <c r="AG114" s="369"/>
      <c r="AH114" s="368"/>
      <c r="AI114" s="368"/>
    </row>
    <row r="115" spans="1:35" x14ac:dyDescent="0.2">
      <c r="A115" s="368"/>
      <c r="B115" s="368"/>
      <c r="C115" s="368"/>
      <c r="D115" s="368"/>
      <c r="E115" s="368"/>
      <c r="F115" s="368"/>
      <c r="G115" s="368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9"/>
      <c r="AG115" s="369"/>
      <c r="AH115" s="368"/>
      <c r="AI115" s="368"/>
    </row>
    <row r="116" spans="1:35" x14ac:dyDescent="0.2">
      <c r="A116" s="368"/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  <c r="O116" s="368"/>
      <c r="P116" s="368"/>
      <c r="Q116" s="368"/>
      <c r="R116" s="368"/>
      <c r="S116" s="368"/>
      <c r="T116" s="368"/>
      <c r="U116" s="368"/>
      <c r="V116" s="368"/>
      <c r="W116" s="368"/>
      <c r="X116" s="368"/>
      <c r="Y116" s="368"/>
      <c r="Z116" s="368"/>
      <c r="AA116" s="368"/>
      <c r="AB116" s="368"/>
      <c r="AC116" s="368"/>
      <c r="AD116" s="368"/>
      <c r="AE116" s="368"/>
      <c r="AF116" s="369"/>
      <c r="AG116" s="369"/>
      <c r="AH116" s="368"/>
      <c r="AI116" s="368"/>
    </row>
    <row r="117" spans="1:35" x14ac:dyDescent="0.2">
      <c r="A117" s="368"/>
      <c r="B117" s="368"/>
      <c r="C117" s="368"/>
      <c r="D117" s="368"/>
      <c r="E117" s="368"/>
      <c r="F117" s="368"/>
      <c r="G117" s="368"/>
      <c r="H117" s="368"/>
      <c r="I117" s="368"/>
      <c r="J117" s="368"/>
      <c r="K117" s="368"/>
      <c r="L117" s="368"/>
      <c r="M117" s="368"/>
      <c r="N117" s="368"/>
      <c r="O117" s="368"/>
      <c r="P117" s="368"/>
      <c r="Q117" s="368"/>
      <c r="R117" s="368"/>
      <c r="S117" s="368"/>
      <c r="T117" s="368"/>
      <c r="U117" s="368"/>
      <c r="V117" s="368"/>
      <c r="W117" s="368"/>
      <c r="X117" s="368"/>
      <c r="Y117" s="368"/>
      <c r="Z117" s="368"/>
      <c r="AA117" s="368"/>
      <c r="AB117" s="368"/>
      <c r="AC117" s="368"/>
      <c r="AD117" s="368"/>
      <c r="AE117" s="368"/>
      <c r="AF117" s="369"/>
      <c r="AG117" s="369"/>
      <c r="AH117" s="368"/>
      <c r="AI117" s="368"/>
    </row>
    <row r="118" spans="1:35" x14ac:dyDescent="0.2">
      <c r="A118" s="368"/>
      <c r="B118" s="368"/>
      <c r="C118" s="368"/>
      <c r="D118" s="368"/>
      <c r="E118" s="368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9"/>
      <c r="AG118" s="369"/>
      <c r="AH118" s="368"/>
      <c r="AI118" s="368"/>
    </row>
    <row r="119" spans="1:35" x14ac:dyDescent="0.2">
      <c r="A119" s="368"/>
      <c r="B119" s="368"/>
      <c r="C119" s="368"/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9"/>
      <c r="AG119" s="369"/>
      <c r="AH119" s="368"/>
      <c r="AI119" s="368"/>
    </row>
    <row r="120" spans="1:35" x14ac:dyDescent="0.2">
      <c r="A120" s="368"/>
      <c r="B120" s="368"/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  <c r="U120" s="368"/>
      <c r="V120" s="368"/>
      <c r="W120" s="368"/>
      <c r="X120" s="368"/>
      <c r="Y120" s="368"/>
      <c r="Z120" s="368"/>
      <c r="AA120" s="368"/>
      <c r="AB120" s="368"/>
      <c r="AC120" s="368"/>
      <c r="AD120" s="368"/>
      <c r="AE120" s="368"/>
      <c r="AF120" s="369"/>
      <c r="AG120" s="369"/>
      <c r="AH120" s="368"/>
      <c r="AI120" s="368"/>
    </row>
    <row r="121" spans="1:35" x14ac:dyDescent="0.2">
      <c r="A121" s="368"/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  <c r="L121" s="368"/>
      <c r="M121" s="368"/>
      <c r="N121" s="368"/>
      <c r="O121" s="368"/>
      <c r="P121" s="368"/>
      <c r="Q121" s="368"/>
      <c r="R121" s="368"/>
      <c r="S121" s="368"/>
      <c r="T121" s="368"/>
      <c r="U121" s="368"/>
      <c r="V121" s="368"/>
      <c r="W121" s="368"/>
      <c r="X121" s="368"/>
      <c r="Y121" s="368"/>
      <c r="Z121" s="368"/>
      <c r="AA121" s="368"/>
      <c r="AB121" s="368"/>
      <c r="AC121" s="368"/>
      <c r="AD121" s="368"/>
      <c r="AE121" s="368"/>
      <c r="AF121" s="369"/>
      <c r="AG121" s="369"/>
      <c r="AH121" s="368"/>
      <c r="AI121" s="368"/>
    </row>
    <row r="122" spans="1:35" x14ac:dyDescent="0.2">
      <c r="A122" s="368"/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368"/>
      <c r="Q122" s="368"/>
      <c r="R122" s="368"/>
      <c r="S122" s="368"/>
      <c r="T122" s="368"/>
      <c r="U122" s="368"/>
      <c r="V122" s="368"/>
      <c r="W122" s="368"/>
      <c r="X122" s="368"/>
      <c r="Y122" s="368"/>
      <c r="Z122" s="368"/>
      <c r="AA122" s="368"/>
      <c r="AB122" s="368"/>
      <c r="AC122" s="368"/>
      <c r="AD122" s="368"/>
      <c r="AE122" s="368"/>
      <c r="AF122" s="369"/>
      <c r="AG122" s="369"/>
      <c r="AH122" s="368"/>
      <c r="AI122" s="368"/>
    </row>
    <row r="123" spans="1:35" x14ac:dyDescent="0.2">
      <c r="A123" s="368"/>
      <c r="B123" s="368"/>
      <c r="C123" s="368"/>
      <c r="D123" s="368"/>
      <c r="E123" s="368"/>
      <c r="F123" s="368"/>
      <c r="G123" s="368"/>
      <c r="H123" s="368"/>
      <c r="I123" s="368"/>
      <c r="J123" s="368"/>
      <c r="K123" s="368"/>
      <c r="L123" s="368"/>
      <c r="M123" s="368"/>
      <c r="N123" s="368"/>
      <c r="O123" s="368"/>
      <c r="P123" s="368"/>
      <c r="Q123" s="368"/>
      <c r="R123" s="368"/>
      <c r="S123" s="368"/>
      <c r="T123" s="368"/>
      <c r="U123" s="368"/>
      <c r="V123" s="368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9"/>
      <c r="AG123" s="369"/>
      <c r="AH123" s="368"/>
      <c r="AI123" s="368"/>
    </row>
    <row r="124" spans="1:35" x14ac:dyDescent="0.2">
      <c r="A124" s="368"/>
      <c r="B124" s="368"/>
      <c r="C124" s="368"/>
      <c r="D124" s="368"/>
      <c r="E124" s="368"/>
      <c r="F124" s="368"/>
      <c r="G124" s="368"/>
      <c r="H124" s="368"/>
      <c r="I124" s="368"/>
      <c r="J124" s="368"/>
      <c r="K124" s="368"/>
      <c r="L124" s="368"/>
      <c r="M124" s="368"/>
      <c r="N124" s="368"/>
      <c r="O124" s="368"/>
      <c r="P124" s="368"/>
      <c r="Q124" s="368"/>
      <c r="R124" s="368"/>
      <c r="S124" s="368"/>
      <c r="T124" s="368"/>
      <c r="U124" s="368"/>
      <c r="V124" s="368"/>
      <c r="W124" s="368"/>
      <c r="X124" s="368"/>
      <c r="Y124" s="368"/>
      <c r="Z124" s="368"/>
      <c r="AA124" s="368"/>
      <c r="AB124" s="368"/>
      <c r="AC124" s="368"/>
      <c r="AD124" s="368"/>
      <c r="AE124" s="368"/>
      <c r="AF124" s="369"/>
      <c r="AG124" s="369"/>
      <c r="AH124" s="368"/>
      <c r="AI124" s="368"/>
    </row>
    <row r="125" spans="1:35" x14ac:dyDescent="0.2">
      <c r="A125" s="368"/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9"/>
      <c r="AG125" s="369"/>
      <c r="AH125" s="368"/>
      <c r="AI125" s="368"/>
    </row>
    <row r="126" spans="1:35" x14ac:dyDescent="0.2">
      <c r="A126" s="368"/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368"/>
      <c r="Q126" s="368"/>
      <c r="R126" s="368"/>
      <c r="S126" s="368"/>
      <c r="T126" s="368"/>
      <c r="U126" s="368"/>
      <c r="V126" s="368"/>
      <c r="W126" s="368"/>
      <c r="X126" s="368"/>
      <c r="Y126" s="368"/>
      <c r="Z126" s="368"/>
      <c r="AA126" s="368"/>
      <c r="AB126" s="368"/>
      <c r="AC126" s="368"/>
      <c r="AD126" s="368"/>
      <c r="AE126" s="368"/>
      <c r="AF126" s="369"/>
      <c r="AG126" s="369"/>
      <c r="AH126" s="368"/>
      <c r="AI126" s="368"/>
    </row>
    <row r="127" spans="1:35" x14ac:dyDescent="0.2">
      <c r="A127" s="368"/>
      <c r="B127" s="368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368"/>
      <c r="Q127" s="368"/>
      <c r="R127" s="368"/>
      <c r="S127" s="368"/>
      <c r="T127" s="368"/>
      <c r="U127" s="368"/>
      <c r="V127" s="368"/>
      <c r="W127" s="368"/>
      <c r="X127" s="368"/>
      <c r="Y127" s="368"/>
      <c r="Z127" s="368"/>
      <c r="AA127" s="368"/>
      <c r="AB127" s="368"/>
      <c r="AC127" s="368"/>
      <c r="AD127" s="368"/>
      <c r="AE127" s="368"/>
      <c r="AF127" s="369"/>
      <c r="AG127" s="369"/>
      <c r="AH127" s="368"/>
      <c r="AI127" s="368"/>
    </row>
    <row r="128" spans="1:35" x14ac:dyDescent="0.2">
      <c r="A128" s="368"/>
      <c r="B128" s="368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9"/>
      <c r="AG128" s="369"/>
      <c r="AH128" s="368"/>
      <c r="AI128" s="368"/>
    </row>
    <row r="129" spans="1:35" x14ac:dyDescent="0.2">
      <c r="A129" s="368"/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9"/>
      <c r="AG129" s="369"/>
      <c r="AH129" s="368"/>
      <c r="AI129" s="368"/>
    </row>
    <row r="130" spans="1:35" x14ac:dyDescent="0.2">
      <c r="A130" s="368"/>
      <c r="B130" s="368"/>
      <c r="C130" s="368"/>
      <c r="D130" s="368"/>
      <c r="E130" s="368"/>
      <c r="F130" s="368"/>
      <c r="G130" s="368"/>
      <c r="H130" s="368"/>
      <c r="I130" s="368"/>
      <c r="J130" s="368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9"/>
      <c r="AG130" s="369"/>
      <c r="AH130" s="368"/>
      <c r="AI130" s="368"/>
    </row>
    <row r="131" spans="1:35" x14ac:dyDescent="0.2">
      <c r="A131" s="368"/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9"/>
      <c r="AG131" s="369"/>
      <c r="AH131" s="368"/>
      <c r="AI131" s="368"/>
    </row>
    <row r="132" spans="1:35" x14ac:dyDescent="0.2">
      <c r="A132" s="368"/>
      <c r="B132" s="368"/>
      <c r="C132" s="368"/>
      <c r="D132" s="368"/>
      <c r="E132" s="368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9"/>
      <c r="AG132" s="369"/>
      <c r="AH132" s="368"/>
      <c r="AI132" s="368"/>
    </row>
    <row r="133" spans="1:35" x14ac:dyDescent="0.2">
      <c r="A133" s="368"/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9"/>
      <c r="AG133" s="369"/>
      <c r="AH133" s="368"/>
      <c r="AI133" s="368"/>
    </row>
    <row r="134" spans="1:35" x14ac:dyDescent="0.2">
      <c r="A134" s="368"/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  <c r="AD134" s="368"/>
      <c r="AE134" s="368"/>
      <c r="AF134" s="369"/>
      <c r="AG134" s="369"/>
      <c r="AH134" s="368"/>
      <c r="AI134" s="368"/>
    </row>
    <row r="135" spans="1:35" x14ac:dyDescent="0.2">
      <c r="A135" s="368"/>
      <c r="B135" s="368"/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9"/>
      <c r="AG135" s="369"/>
      <c r="AH135" s="368"/>
      <c r="AI135" s="368"/>
    </row>
    <row r="136" spans="1:35" x14ac:dyDescent="0.2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9"/>
      <c r="AG136" s="369"/>
      <c r="AH136" s="368"/>
      <c r="AI136" s="368"/>
    </row>
    <row r="137" spans="1:35" x14ac:dyDescent="0.2">
      <c r="A137" s="368"/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9"/>
      <c r="AG137" s="369"/>
      <c r="AH137" s="368"/>
      <c r="AI137" s="368"/>
    </row>
    <row r="138" spans="1:35" x14ac:dyDescent="0.2">
      <c r="A138" s="368"/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9"/>
      <c r="AG138" s="369"/>
      <c r="AH138" s="368"/>
      <c r="AI138" s="368"/>
    </row>
    <row r="139" spans="1:35" x14ac:dyDescent="0.2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9"/>
      <c r="AG139" s="369"/>
      <c r="AH139" s="368"/>
      <c r="AI139" s="368"/>
    </row>
    <row r="140" spans="1:35" x14ac:dyDescent="0.2">
      <c r="A140" s="368"/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9"/>
      <c r="AG140" s="369"/>
      <c r="AH140" s="368"/>
      <c r="AI140" s="368"/>
    </row>
    <row r="141" spans="1:35" x14ac:dyDescent="0.2">
      <c r="A141" s="368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9"/>
      <c r="AG141" s="369"/>
      <c r="AH141" s="368"/>
      <c r="AI141" s="368"/>
    </row>
    <row r="142" spans="1:35" x14ac:dyDescent="0.2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9"/>
      <c r="AG142" s="369"/>
      <c r="AH142" s="368"/>
      <c r="AI142" s="368"/>
    </row>
    <row r="143" spans="1:35" x14ac:dyDescent="0.2">
      <c r="A143" s="368"/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9"/>
      <c r="AG143" s="369"/>
      <c r="AH143" s="368"/>
      <c r="AI143" s="368"/>
    </row>
    <row r="144" spans="1:35" x14ac:dyDescent="0.2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9"/>
      <c r="AG144" s="369"/>
      <c r="AH144" s="368"/>
      <c r="AI144" s="368"/>
    </row>
    <row r="145" spans="1:35" x14ac:dyDescent="0.2">
      <c r="A145" s="368"/>
      <c r="B145" s="368"/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9"/>
      <c r="AG145" s="369"/>
      <c r="AH145" s="368"/>
      <c r="AI145" s="368"/>
    </row>
    <row r="146" spans="1:35" x14ac:dyDescent="0.2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9"/>
      <c r="AG146" s="369"/>
      <c r="AH146" s="368"/>
      <c r="AI146" s="368"/>
    </row>
    <row r="147" spans="1:35" x14ac:dyDescent="0.2">
      <c r="A147" s="368"/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9"/>
      <c r="AG147" s="369"/>
      <c r="AH147" s="368"/>
      <c r="AI147" s="368"/>
    </row>
    <row r="148" spans="1:35" x14ac:dyDescent="0.2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9"/>
      <c r="AG148" s="369"/>
      <c r="AH148" s="368"/>
      <c r="AI148" s="368"/>
    </row>
    <row r="149" spans="1:35" x14ac:dyDescent="0.2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9"/>
      <c r="AG149" s="369"/>
      <c r="AH149" s="368"/>
      <c r="AI149" s="368"/>
    </row>
    <row r="150" spans="1:35" x14ac:dyDescent="0.2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9"/>
      <c r="AG150" s="369"/>
      <c r="AH150" s="368"/>
      <c r="AI150" s="368"/>
    </row>
    <row r="151" spans="1:35" x14ac:dyDescent="0.2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9"/>
      <c r="AG151" s="369"/>
      <c r="AH151" s="368"/>
      <c r="AI151" s="368"/>
    </row>
    <row r="152" spans="1:35" x14ac:dyDescent="0.2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9"/>
      <c r="AG152" s="369"/>
      <c r="AH152" s="368"/>
      <c r="AI152" s="368"/>
    </row>
    <row r="153" spans="1:35" x14ac:dyDescent="0.2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9"/>
      <c r="AG153" s="369"/>
      <c r="AH153" s="368"/>
      <c r="AI153" s="368"/>
    </row>
    <row r="154" spans="1:35" x14ac:dyDescent="0.2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9"/>
      <c r="AG154" s="369"/>
      <c r="AH154" s="368"/>
      <c r="AI154" s="368"/>
    </row>
    <row r="155" spans="1:35" x14ac:dyDescent="0.2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9"/>
      <c r="AG155" s="369"/>
      <c r="AH155" s="368"/>
      <c r="AI155" s="368"/>
    </row>
    <row r="156" spans="1:35" x14ac:dyDescent="0.2">
      <c r="A156" s="368"/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9"/>
      <c r="AG156" s="369"/>
      <c r="AH156" s="368"/>
      <c r="AI156" s="368"/>
    </row>
    <row r="157" spans="1:35" x14ac:dyDescent="0.2">
      <c r="A157" s="368"/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368"/>
      <c r="Q157" s="368"/>
      <c r="R157" s="368"/>
      <c r="S157" s="368"/>
      <c r="T157" s="368"/>
      <c r="U157" s="368"/>
      <c r="V157" s="368"/>
      <c r="W157" s="368"/>
      <c r="X157" s="368"/>
      <c r="Y157" s="368"/>
      <c r="Z157" s="368"/>
      <c r="AA157" s="368"/>
      <c r="AB157" s="368"/>
      <c r="AC157" s="368"/>
      <c r="AD157" s="368"/>
      <c r="AE157" s="368"/>
      <c r="AF157" s="369"/>
      <c r="AG157" s="369"/>
      <c r="AH157" s="368"/>
      <c r="AI157" s="368"/>
    </row>
    <row r="158" spans="1:35" x14ac:dyDescent="0.2">
      <c r="A158" s="368"/>
      <c r="B158" s="368"/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368"/>
      <c r="Q158" s="368"/>
      <c r="R158" s="368"/>
      <c r="S158" s="368"/>
      <c r="T158" s="368"/>
      <c r="U158" s="368"/>
      <c r="V158" s="368"/>
      <c r="W158" s="368"/>
      <c r="X158" s="368"/>
      <c r="Y158" s="368"/>
      <c r="Z158" s="368"/>
      <c r="AA158" s="368"/>
      <c r="AB158" s="368"/>
      <c r="AC158" s="368"/>
      <c r="AD158" s="368"/>
      <c r="AE158" s="368"/>
      <c r="AF158" s="369"/>
      <c r="AG158" s="369"/>
      <c r="AH158" s="368"/>
      <c r="AI158" s="368"/>
    </row>
    <row r="159" spans="1:35" x14ac:dyDescent="0.2">
      <c r="A159" s="368"/>
      <c r="B159" s="368"/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368"/>
      <c r="Q159" s="368"/>
      <c r="R159" s="368"/>
      <c r="S159" s="368"/>
      <c r="T159" s="368"/>
      <c r="U159" s="368"/>
      <c r="V159" s="368"/>
      <c r="W159" s="368"/>
      <c r="X159" s="368"/>
      <c r="Y159" s="368"/>
      <c r="Z159" s="368"/>
      <c r="AA159" s="368"/>
      <c r="AB159" s="368"/>
      <c r="AC159" s="368"/>
      <c r="AD159" s="368"/>
      <c r="AE159" s="368"/>
      <c r="AF159" s="369"/>
      <c r="AG159" s="369"/>
      <c r="AH159" s="368"/>
      <c r="AI159" s="368"/>
    </row>
    <row r="160" spans="1:35" x14ac:dyDescent="0.2">
      <c r="A160" s="368"/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9"/>
      <c r="AG160" s="369"/>
      <c r="AH160" s="368"/>
      <c r="AI160" s="368"/>
    </row>
    <row r="161" spans="1:35" x14ac:dyDescent="0.2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  <c r="AC161" s="368"/>
      <c r="AD161" s="368"/>
      <c r="AE161" s="368"/>
      <c r="AF161" s="369"/>
      <c r="AG161" s="369"/>
      <c r="AH161" s="368"/>
      <c r="AI161" s="368"/>
    </row>
    <row r="162" spans="1:35" x14ac:dyDescent="0.2">
      <c r="A162" s="368"/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368"/>
      <c r="AC162" s="368"/>
      <c r="AD162" s="368"/>
      <c r="AE162" s="368"/>
      <c r="AF162" s="369"/>
      <c r="AG162" s="369"/>
      <c r="AH162" s="368"/>
      <c r="AI162" s="368"/>
    </row>
    <row r="163" spans="1:35" x14ac:dyDescent="0.2">
      <c r="A163" s="368"/>
      <c r="B163" s="368"/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9"/>
      <c r="AG163" s="369"/>
      <c r="AH163" s="368"/>
      <c r="AI163" s="368"/>
    </row>
    <row r="164" spans="1:35" x14ac:dyDescent="0.2">
      <c r="A164" s="368"/>
      <c r="B164" s="368"/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  <c r="O164" s="368"/>
      <c r="P164" s="368"/>
      <c r="Q164" s="368"/>
      <c r="R164" s="368"/>
      <c r="S164" s="368"/>
      <c r="T164" s="368"/>
      <c r="U164" s="368"/>
      <c r="V164" s="368"/>
      <c r="W164" s="368"/>
      <c r="X164" s="368"/>
      <c r="Y164" s="368"/>
      <c r="Z164" s="368"/>
      <c r="AA164" s="368"/>
      <c r="AB164" s="368"/>
      <c r="AC164" s="368"/>
      <c r="AD164" s="368"/>
      <c r="AE164" s="368"/>
      <c r="AF164" s="369"/>
      <c r="AG164" s="369"/>
      <c r="AH164" s="368"/>
      <c r="AI164" s="368"/>
    </row>
    <row r="165" spans="1:35" x14ac:dyDescent="0.2">
      <c r="A165" s="368"/>
      <c r="B165" s="368"/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9"/>
      <c r="AG165" s="369"/>
      <c r="AH165" s="368"/>
      <c r="AI165" s="368"/>
    </row>
    <row r="166" spans="1:35" x14ac:dyDescent="0.2">
      <c r="A166" s="368"/>
      <c r="B166" s="368"/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9"/>
      <c r="AG166" s="369"/>
      <c r="AH166" s="368"/>
      <c r="AI166" s="368"/>
    </row>
    <row r="167" spans="1:35" x14ac:dyDescent="0.2">
      <c r="A167" s="368"/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  <c r="O167" s="368"/>
      <c r="P167" s="368"/>
      <c r="Q167" s="368"/>
      <c r="R167" s="368"/>
      <c r="S167" s="368"/>
      <c r="T167" s="368"/>
      <c r="U167" s="368"/>
      <c r="V167" s="368"/>
      <c r="W167" s="368"/>
      <c r="X167" s="368"/>
      <c r="Y167" s="368"/>
      <c r="Z167" s="368"/>
      <c r="AA167" s="368"/>
      <c r="AB167" s="368"/>
      <c r="AC167" s="368"/>
      <c r="AD167" s="368"/>
      <c r="AE167" s="368"/>
      <c r="AF167" s="369"/>
      <c r="AG167" s="369"/>
      <c r="AH167" s="368"/>
      <c r="AI167" s="368"/>
    </row>
    <row r="168" spans="1:35" x14ac:dyDescent="0.2">
      <c r="A168" s="368"/>
      <c r="B168" s="368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  <c r="O168" s="368"/>
      <c r="P168" s="368"/>
      <c r="Q168" s="368"/>
      <c r="R168" s="368"/>
      <c r="S168" s="368"/>
      <c r="T168" s="368"/>
      <c r="U168" s="368"/>
      <c r="V168" s="368"/>
      <c r="W168" s="368"/>
      <c r="X168" s="368"/>
      <c r="Y168" s="368"/>
      <c r="Z168" s="368"/>
      <c r="AA168" s="368"/>
      <c r="AB168" s="368"/>
      <c r="AC168" s="368"/>
      <c r="AD168" s="368"/>
      <c r="AE168" s="368"/>
      <c r="AF168" s="369"/>
      <c r="AG168" s="369"/>
      <c r="AH168" s="368"/>
      <c r="AI168" s="368"/>
    </row>
    <row r="169" spans="1:35" x14ac:dyDescent="0.2">
      <c r="A169" s="368"/>
      <c r="B169" s="368"/>
      <c r="C169" s="368"/>
      <c r="D169" s="368"/>
      <c r="E169" s="368"/>
      <c r="F169" s="368"/>
      <c r="G169" s="368"/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9"/>
      <c r="AG169" s="369"/>
      <c r="AH169" s="368"/>
      <c r="AI169" s="368"/>
    </row>
    <row r="170" spans="1:35" x14ac:dyDescent="0.2">
      <c r="A170" s="368"/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  <c r="O170" s="368"/>
      <c r="P170" s="368"/>
      <c r="Q170" s="368"/>
      <c r="R170" s="368"/>
      <c r="S170" s="368"/>
      <c r="T170" s="368"/>
      <c r="U170" s="368"/>
      <c r="V170" s="368"/>
      <c r="W170" s="368"/>
      <c r="X170" s="368"/>
      <c r="Y170" s="368"/>
      <c r="Z170" s="368"/>
      <c r="AA170" s="368"/>
      <c r="AB170" s="368"/>
      <c r="AC170" s="368"/>
      <c r="AD170" s="368"/>
      <c r="AE170" s="368"/>
      <c r="AF170" s="369"/>
      <c r="AG170" s="369"/>
      <c r="AH170" s="368"/>
      <c r="AI170" s="368"/>
    </row>
    <row r="171" spans="1:35" x14ac:dyDescent="0.2">
      <c r="A171" s="368"/>
      <c r="B171" s="368"/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9"/>
      <c r="AG171" s="369"/>
      <c r="AH171" s="368"/>
      <c r="AI171" s="368"/>
    </row>
    <row r="172" spans="1:35" x14ac:dyDescent="0.2">
      <c r="A172" s="368"/>
      <c r="B172" s="368"/>
      <c r="C172" s="368"/>
      <c r="D172" s="368"/>
      <c r="E172" s="368"/>
      <c r="F172" s="368"/>
      <c r="G172" s="368"/>
      <c r="H172" s="368"/>
      <c r="I172" s="368"/>
      <c r="J172" s="368"/>
      <c r="K172" s="368"/>
      <c r="L172" s="368"/>
      <c r="M172" s="368"/>
      <c r="N172" s="368"/>
      <c r="O172" s="368"/>
      <c r="P172" s="368"/>
      <c r="Q172" s="368"/>
      <c r="R172" s="368"/>
      <c r="S172" s="368"/>
      <c r="T172" s="368"/>
      <c r="U172" s="368"/>
      <c r="V172" s="368"/>
      <c r="W172" s="368"/>
      <c r="X172" s="368"/>
      <c r="Y172" s="368"/>
      <c r="Z172" s="368"/>
      <c r="AA172" s="368"/>
      <c r="AB172" s="368"/>
      <c r="AC172" s="368"/>
      <c r="AD172" s="368"/>
      <c r="AE172" s="368"/>
      <c r="AF172" s="369"/>
      <c r="AG172" s="369"/>
      <c r="AH172" s="368"/>
      <c r="AI172" s="368"/>
    </row>
    <row r="173" spans="1:35" x14ac:dyDescent="0.2">
      <c r="A173" s="368"/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8"/>
      <c r="Z173" s="368"/>
      <c r="AA173" s="368"/>
      <c r="AB173" s="368"/>
      <c r="AC173" s="368"/>
      <c r="AD173" s="368"/>
      <c r="AE173" s="368"/>
      <c r="AF173" s="369"/>
      <c r="AG173" s="369"/>
      <c r="AH173" s="368"/>
      <c r="AI173" s="368"/>
    </row>
    <row r="174" spans="1:35" x14ac:dyDescent="0.2">
      <c r="A174" s="368"/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  <c r="O174" s="368"/>
      <c r="P174" s="368"/>
      <c r="Q174" s="368"/>
      <c r="R174" s="368"/>
      <c r="S174" s="368"/>
      <c r="T174" s="368"/>
      <c r="U174" s="368"/>
      <c r="V174" s="368"/>
      <c r="W174" s="368"/>
      <c r="X174" s="368"/>
      <c r="Y174" s="368"/>
      <c r="Z174" s="368"/>
      <c r="AA174" s="368"/>
      <c r="AB174" s="368"/>
      <c r="AC174" s="368"/>
      <c r="AD174" s="368"/>
      <c r="AE174" s="368"/>
      <c r="AF174" s="369"/>
      <c r="AG174" s="369"/>
      <c r="AH174" s="368"/>
      <c r="AI174" s="368"/>
    </row>
    <row r="175" spans="1:35" x14ac:dyDescent="0.2">
      <c r="A175" s="368"/>
      <c r="B175" s="368"/>
      <c r="C175" s="368"/>
      <c r="D175" s="368"/>
      <c r="E175" s="368"/>
      <c r="F175" s="368"/>
      <c r="G175" s="368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9"/>
      <c r="AG175" s="369"/>
      <c r="AH175" s="368"/>
      <c r="AI175" s="368"/>
    </row>
    <row r="176" spans="1:35" x14ac:dyDescent="0.2">
      <c r="A176" s="368"/>
      <c r="B176" s="368"/>
      <c r="C176" s="368"/>
      <c r="D176" s="368"/>
      <c r="E176" s="368"/>
      <c r="F176" s="368"/>
      <c r="G176" s="368"/>
      <c r="H176" s="368"/>
      <c r="I176" s="368"/>
      <c r="J176" s="368"/>
      <c r="K176" s="368"/>
      <c r="L176" s="368"/>
      <c r="M176" s="368"/>
      <c r="N176" s="368"/>
      <c r="O176" s="368"/>
      <c r="P176" s="368"/>
      <c r="Q176" s="368"/>
      <c r="R176" s="368"/>
      <c r="S176" s="368"/>
      <c r="T176" s="368"/>
      <c r="U176" s="368"/>
      <c r="V176" s="368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9"/>
      <c r="AG176" s="369"/>
      <c r="AH176" s="368"/>
      <c r="AI176" s="368"/>
    </row>
    <row r="177" spans="1:35" x14ac:dyDescent="0.2">
      <c r="A177" s="368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  <c r="O177" s="368"/>
      <c r="P177" s="368"/>
      <c r="Q177" s="368"/>
      <c r="R177" s="368"/>
      <c r="S177" s="368"/>
      <c r="T177" s="368"/>
      <c r="U177" s="368"/>
      <c r="V177" s="368"/>
      <c r="W177" s="368"/>
      <c r="X177" s="368"/>
      <c r="Y177" s="368"/>
      <c r="Z177" s="368"/>
      <c r="AA177" s="368"/>
      <c r="AB177" s="368"/>
      <c r="AC177" s="368"/>
      <c r="AD177" s="368"/>
      <c r="AE177" s="368"/>
      <c r="AF177" s="369"/>
      <c r="AG177" s="369"/>
      <c r="AH177" s="368"/>
      <c r="AI177" s="368"/>
    </row>
    <row r="178" spans="1:35" x14ac:dyDescent="0.2">
      <c r="A178" s="368"/>
      <c r="B178" s="368"/>
      <c r="C178" s="368"/>
      <c r="D178" s="368"/>
      <c r="E178" s="368"/>
      <c r="F178" s="368"/>
      <c r="G178" s="368"/>
      <c r="H178" s="368"/>
      <c r="I178" s="368"/>
      <c r="J178" s="368"/>
      <c r="K178" s="368"/>
      <c r="L178" s="368"/>
      <c r="M178" s="368"/>
      <c r="N178" s="368"/>
      <c r="O178" s="368"/>
      <c r="P178" s="368"/>
      <c r="Q178" s="368"/>
      <c r="R178" s="368"/>
      <c r="S178" s="368"/>
      <c r="T178" s="368"/>
      <c r="U178" s="368"/>
      <c r="V178" s="368"/>
      <c r="W178" s="368"/>
      <c r="X178" s="368"/>
      <c r="Y178" s="368"/>
      <c r="Z178" s="368"/>
      <c r="AA178" s="368"/>
      <c r="AB178" s="368"/>
      <c r="AC178" s="368"/>
      <c r="AD178" s="368"/>
      <c r="AE178" s="368"/>
      <c r="AF178" s="369"/>
      <c r="AG178" s="369"/>
      <c r="AH178" s="368"/>
      <c r="AI178" s="368"/>
    </row>
    <row r="179" spans="1:35" x14ac:dyDescent="0.2">
      <c r="A179" s="368"/>
      <c r="B179" s="368"/>
      <c r="C179" s="368"/>
      <c r="D179" s="368"/>
      <c r="E179" s="368"/>
      <c r="F179" s="368"/>
      <c r="G179" s="368"/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368"/>
      <c r="T179" s="368"/>
      <c r="U179" s="368"/>
      <c r="V179" s="368"/>
      <c r="W179" s="368"/>
      <c r="X179" s="368"/>
      <c r="Y179" s="368"/>
      <c r="Z179" s="368"/>
      <c r="AA179" s="368"/>
      <c r="AB179" s="368"/>
      <c r="AC179" s="368"/>
      <c r="AD179" s="368"/>
      <c r="AE179" s="368"/>
      <c r="AF179" s="369"/>
      <c r="AG179" s="369"/>
      <c r="AH179" s="368"/>
      <c r="AI179" s="368"/>
    </row>
    <row r="180" spans="1:35" x14ac:dyDescent="0.2">
      <c r="A180" s="368"/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  <c r="O180" s="368"/>
      <c r="P180" s="368"/>
      <c r="Q180" s="368"/>
      <c r="R180" s="368"/>
      <c r="S180" s="368"/>
      <c r="T180" s="368"/>
      <c r="U180" s="368"/>
      <c r="V180" s="368"/>
      <c r="W180" s="368"/>
      <c r="X180" s="368"/>
      <c r="Y180" s="368"/>
      <c r="Z180" s="368"/>
      <c r="AA180" s="368"/>
      <c r="AB180" s="368"/>
      <c r="AC180" s="368"/>
      <c r="AD180" s="368"/>
      <c r="AE180" s="368"/>
      <c r="AF180" s="369"/>
      <c r="AG180" s="369"/>
      <c r="AH180" s="368"/>
      <c r="AI180" s="368"/>
    </row>
    <row r="181" spans="1:35" x14ac:dyDescent="0.2">
      <c r="A181" s="368"/>
      <c r="B181" s="368"/>
      <c r="C181" s="368"/>
      <c r="D181" s="368"/>
      <c r="E181" s="368"/>
      <c r="F181" s="368"/>
      <c r="G181" s="368"/>
      <c r="H181" s="368"/>
      <c r="I181" s="368"/>
      <c r="J181" s="368"/>
      <c r="K181" s="368"/>
      <c r="L181" s="368"/>
      <c r="M181" s="368"/>
      <c r="N181" s="368"/>
      <c r="O181" s="368"/>
      <c r="P181" s="368"/>
      <c r="Q181" s="368"/>
      <c r="R181" s="368"/>
      <c r="S181" s="368"/>
      <c r="T181" s="368"/>
      <c r="U181" s="368"/>
      <c r="V181" s="368"/>
      <c r="W181" s="368"/>
      <c r="X181" s="368"/>
      <c r="Y181" s="368"/>
      <c r="Z181" s="368"/>
      <c r="AA181" s="368"/>
      <c r="AB181" s="368"/>
      <c r="AC181" s="368"/>
      <c r="AD181" s="368"/>
      <c r="AE181" s="368"/>
      <c r="AF181" s="369"/>
      <c r="AG181" s="369"/>
      <c r="AH181" s="368"/>
      <c r="AI181" s="368"/>
    </row>
    <row r="182" spans="1:35" x14ac:dyDescent="0.2">
      <c r="A182" s="368"/>
      <c r="B182" s="36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  <c r="O182" s="368"/>
      <c r="P182" s="368"/>
      <c r="Q182" s="368"/>
      <c r="R182" s="368"/>
      <c r="S182" s="368"/>
      <c r="T182" s="368"/>
      <c r="U182" s="368"/>
      <c r="V182" s="368"/>
      <c r="W182" s="368"/>
      <c r="X182" s="368"/>
      <c r="Y182" s="368"/>
      <c r="Z182" s="368"/>
      <c r="AA182" s="368"/>
      <c r="AB182" s="368"/>
      <c r="AC182" s="368"/>
      <c r="AD182" s="368"/>
      <c r="AE182" s="368"/>
      <c r="AF182" s="369"/>
      <c r="AG182" s="369"/>
      <c r="AH182" s="368"/>
      <c r="AI182" s="368"/>
    </row>
    <row r="183" spans="1:35" x14ac:dyDescent="0.2">
      <c r="A183" s="368"/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9"/>
      <c r="AG183" s="369"/>
      <c r="AH183" s="368"/>
      <c r="AI183" s="368"/>
    </row>
    <row r="184" spans="1:35" x14ac:dyDescent="0.2">
      <c r="A184" s="368"/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  <c r="O184" s="368"/>
      <c r="P184" s="368"/>
      <c r="Q184" s="368"/>
      <c r="R184" s="368"/>
      <c r="S184" s="368"/>
      <c r="T184" s="368"/>
      <c r="U184" s="368"/>
      <c r="V184" s="368"/>
      <c r="W184" s="368"/>
      <c r="X184" s="368"/>
      <c r="Y184" s="368"/>
      <c r="Z184" s="368"/>
      <c r="AA184" s="368"/>
      <c r="AB184" s="368"/>
      <c r="AC184" s="368"/>
      <c r="AD184" s="368"/>
      <c r="AE184" s="368"/>
      <c r="AF184" s="369"/>
      <c r="AG184" s="369"/>
      <c r="AH184" s="368"/>
      <c r="AI184" s="368"/>
    </row>
    <row r="185" spans="1:35" x14ac:dyDescent="0.2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  <c r="O185" s="368"/>
      <c r="P185" s="368"/>
      <c r="Q185" s="368"/>
      <c r="R185" s="368"/>
      <c r="S185" s="368"/>
      <c r="T185" s="368"/>
      <c r="U185" s="368"/>
      <c r="V185" s="368"/>
      <c r="W185" s="368"/>
      <c r="X185" s="368"/>
      <c r="Y185" s="368"/>
      <c r="Z185" s="368"/>
      <c r="AA185" s="368"/>
      <c r="AB185" s="368"/>
      <c r="AC185" s="368"/>
      <c r="AD185" s="368"/>
      <c r="AE185" s="368"/>
      <c r="AF185" s="369"/>
      <c r="AG185" s="369"/>
      <c r="AH185" s="368"/>
      <c r="AI185" s="368"/>
    </row>
    <row r="186" spans="1:35" x14ac:dyDescent="0.2">
      <c r="A186" s="368"/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9"/>
      <c r="AG186" s="369"/>
      <c r="AH186" s="368"/>
      <c r="AI186" s="368"/>
    </row>
    <row r="187" spans="1:35" x14ac:dyDescent="0.2">
      <c r="A187" s="368"/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9"/>
      <c r="AG187" s="369"/>
      <c r="AH187" s="368"/>
      <c r="AI187" s="368"/>
    </row>
    <row r="188" spans="1:35" x14ac:dyDescent="0.2">
      <c r="A188" s="368"/>
      <c r="B188" s="368"/>
      <c r="C188" s="368"/>
      <c r="D188" s="368"/>
      <c r="E188" s="368"/>
      <c r="F188" s="368"/>
      <c r="G188" s="368"/>
      <c r="H188" s="368"/>
      <c r="I188" s="368"/>
      <c r="J188" s="368"/>
      <c r="K188" s="368"/>
      <c r="L188" s="368"/>
      <c r="M188" s="368"/>
      <c r="N188" s="368"/>
      <c r="O188" s="368"/>
      <c r="P188" s="368"/>
      <c r="Q188" s="368"/>
      <c r="R188" s="368"/>
      <c r="S188" s="368"/>
      <c r="T188" s="368"/>
      <c r="U188" s="368"/>
      <c r="V188" s="368"/>
      <c r="W188" s="368"/>
      <c r="X188" s="368"/>
      <c r="Y188" s="368"/>
      <c r="Z188" s="368"/>
      <c r="AA188" s="368"/>
      <c r="AB188" s="368"/>
      <c r="AC188" s="368"/>
      <c r="AD188" s="368"/>
      <c r="AE188" s="368"/>
      <c r="AF188" s="369"/>
      <c r="AG188" s="369"/>
      <c r="AH188" s="368"/>
      <c r="AI188" s="368"/>
    </row>
    <row r="189" spans="1:35" x14ac:dyDescent="0.2">
      <c r="A189" s="368"/>
      <c r="B189" s="368"/>
      <c r="C189" s="368"/>
      <c r="D189" s="368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  <c r="O189" s="368"/>
      <c r="P189" s="368"/>
      <c r="Q189" s="368"/>
      <c r="R189" s="368"/>
      <c r="S189" s="368"/>
      <c r="T189" s="368"/>
      <c r="U189" s="368"/>
      <c r="V189" s="368"/>
      <c r="W189" s="368"/>
      <c r="X189" s="368"/>
      <c r="Y189" s="368"/>
      <c r="Z189" s="368"/>
      <c r="AA189" s="368"/>
      <c r="AB189" s="368"/>
      <c r="AC189" s="368"/>
      <c r="AD189" s="368"/>
      <c r="AE189" s="368"/>
      <c r="AF189" s="369"/>
      <c r="AG189" s="369"/>
      <c r="AH189" s="368"/>
      <c r="AI189" s="368"/>
    </row>
    <row r="190" spans="1:35" x14ac:dyDescent="0.2">
      <c r="A190" s="368"/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  <c r="O190" s="368"/>
      <c r="P190" s="368"/>
      <c r="Q190" s="368"/>
      <c r="R190" s="368"/>
      <c r="S190" s="368"/>
      <c r="T190" s="368"/>
      <c r="U190" s="368"/>
      <c r="V190" s="368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9"/>
      <c r="AG190" s="369"/>
      <c r="AH190" s="368"/>
      <c r="AI190" s="368"/>
    </row>
    <row r="191" spans="1:35" x14ac:dyDescent="0.2">
      <c r="A191" s="368"/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9"/>
      <c r="AG191" s="369"/>
      <c r="AH191" s="368"/>
      <c r="AI191" s="368"/>
    </row>
    <row r="192" spans="1:35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  <c r="O192" s="368"/>
      <c r="P192" s="368"/>
      <c r="Q192" s="368"/>
      <c r="R192" s="368"/>
      <c r="S192" s="368"/>
      <c r="T192" s="368"/>
      <c r="U192" s="368"/>
      <c r="V192" s="368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9"/>
      <c r="AG192" s="369"/>
      <c r="AH192" s="368"/>
      <c r="AI192" s="368"/>
    </row>
    <row r="193" spans="1:35" x14ac:dyDescent="0.2">
      <c r="A193" s="368"/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9"/>
      <c r="AG193" s="369"/>
      <c r="AH193" s="368"/>
      <c r="AI193" s="368"/>
    </row>
    <row r="194" spans="1:35" x14ac:dyDescent="0.2">
      <c r="A194" s="368"/>
      <c r="B194" s="368"/>
      <c r="C194" s="368"/>
      <c r="D194" s="368"/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  <c r="O194" s="368"/>
      <c r="P194" s="368"/>
      <c r="Q194" s="368"/>
      <c r="R194" s="368"/>
      <c r="S194" s="368"/>
      <c r="T194" s="368"/>
      <c r="U194" s="368"/>
      <c r="V194" s="368"/>
      <c r="W194" s="368"/>
      <c r="X194" s="368"/>
      <c r="Y194" s="368"/>
      <c r="Z194" s="368"/>
      <c r="AA194" s="368"/>
      <c r="AB194" s="368"/>
      <c r="AC194" s="368"/>
      <c r="AD194" s="368"/>
      <c r="AE194" s="368"/>
      <c r="AF194" s="369"/>
      <c r="AG194" s="369"/>
      <c r="AH194" s="368"/>
      <c r="AI194" s="368"/>
    </row>
    <row r="195" spans="1:35" x14ac:dyDescent="0.2">
      <c r="A195" s="368"/>
      <c r="B195" s="368"/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  <c r="AD195" s="368"/>
      <c r="AE195" s="368"/>
      <c r="AF195" s="369"/>
      <c r="AG195" s="369"/>
      <c r="AH195" s="368"/>
      <c r="AI195" s="368"/>
    </row>
    <row r="196" spans="1:35" x14ac:dyDescent="0.2">
      <c r="A196" s="368"/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9"/>
      <c r="AG196" s="369"/>
      <c r="AH196" s="368"/>
      <c r="AI196" s="368"/>
    </row>
    <row r="197" spans="1:35" x14ac:dyDescent="0.2">
      <c r="A197" s="368"/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9"/>
      <c r="AG197" s="369"/>
      <c r="AH197" s="368"/>
      <c r="AI197" s="368"/>
    </row>
    <row r="198" spans="1:35" x14ac:dyDescent="0.2">
      <c r="A198" s="368"/>
      <c r="B198" s="368"/>
      <c r="C198" s="368"/>
      <c r="D198" s="368"/>
      <c r="E198" s="368"/>
      <c r="F198" s="368"/>
      <c r="G198" s="368"/>
      <c r="H198" s="368"/>
      <c r="I198" s="368"/>
      <c r="J198" s="368"/>
      <c r="K198" s="368"/>
      <c r="L198" s="368"/>
      <c r="M198" s="368"/>
      <c r="N198" s="368"/>
      <c r="O198" s="368"/>
      <c r="P198" s="368"/>
      <c r="Q198" s="368"/>
      <c r="R198" s="368"/>
      <c r="S198" s="368"/>
      <c r="T198" s="368"/>
      <c r="U198" s="368"/>
      <c r="V198" s="368"/>
      <c r="W198" s="368"/>
      <c r="X198" s="368"/>
      <c r="Y198" s="368"/>
      <c r="Z198" s="368"/>
      <c r="AA198" s="368"/>
      <c r="AB198" s="368"/>
      <c r="AC198" s="368"/>
      <c r="AD198" s="368"/>
      <c r="AE198" s="368"/>
      <c r="AF198" s="369"/>
      <c r="AG198" s="369"/>
      <c r="AH198" s="368"/>
      <c r="AI198" s="368"/>
    </row>
    <row r="199" spans="1:35" x14ac:dyDescent="0.2">
      <c r="A199" s="368"/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  <c r="AD199" s="368"/>
      <c r="AE199" s="368"/>
      <c r="AF199" s="369"/>
      <c r="AG199" s="369"/>
      <c r="AH199" s="368"/>
      <c r="AI199" s="368"/>
    </row>
    <row r="200" spans="1:35" x14ac:dyDescent="0.2">
      <c r="A200" s="368"/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9"/>
      <c r="AG200" s="369"/>
      <c r="AH200" s="368"/>
      <c r="AI200" s="368"/>
    </row>
    <row r="201" spans="1:35" x14ac:dyDescent="0.2">
      <c r="A201" s="368"/>
      <c r="B201" s="368"/>
      <c r="C201" s="368"/>
      <c r="D201" s="368"/>
      <c r="E201" s="368"/>
      <c r="F201" s="368"/>
      <c r="G201" s="368"/>
      <c r="H201" s="368"/>
      <c r="I201" s="368"/>
      <c r="J201" s="368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  <c r="AD201" s="368"/>
      <c r="AE201" s="368"/>
      <c r="AF201" s="369"/>
      <c r="AG201" s="369"/>
      <c r="AH201" s="368"/>
      <c r="AI201" s="368"/>
    </row>
    <row r="202" spans="1:35" x14ac:dyDescent="0.2">
      <c r="A202" s="368"/>
      <c r="B202" s="368"/>
      <c r="C202" s="368"/>
      <c r="D202" s="368"/>
      <c r="E202" s="368"/>
      <c r="F202" s="368"/>
      <c r="G202" s="368"/>
      <c r="H202" s="368"/>
      <c r="I202" s="368"/>
      <c r="J202" s="368"/>
      <c r="K202" s="368"/>
      <c r="L202" s="368"/>
      <c r="M202" s="368"/>
      <c r="N202" s="368"/>
      <c r="O202" s="368"/>
      <c r="P202" s="368"/>
      <c r="Q202" s="368"/>
      <c r="R202" s="368"/>
      <c r="S202" s="368"/>
      <c r="T202" s="368"/>
      <c r="U202" s="368"/>
      <c r="V202" s="368"/>
      <c r="W202" s="368"/>
      <c r="X202" s="368"/>
      <c r="Y202" s="368"/>
      <c r="Z202" s="368"/>
      <c r="AA202" s="368"/>
      <c r="AB202" s="368"/>
      <c r="AC202" s="368"/>
      <c r="AD202" s="368"/>
      <c r="AE202" s="368"/>
      <c r="AF202" s="369"/>
      <c r="AG202" s="369"/>
      <c r="AH202" s="368"/>
      <c r="AI202" s="368"/>
    </row>
    <row r="203" spans="1:35" x14ac:dyDescent="0.2">
      <c r="A203" s="368"/>
      <c r="B203" s="368"/>
      <c r="C203" s="368"/>
      <c r="D203" s="368"/>
      <c r="E203" s="368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9"/>
      <c r="AG203" s="369"/>
      <c r="AH203" s="368"/>
      <c r="AI203" s="368"/>
    </row>
    <row r="204" spans="1:35" x14ac:dyDescent="0.2">
      <c r="A204" s="368"/>
      <c r="B204" s="368"/>
      <c r="C204" s="368"/>
      <c r="D204" s="368"/>
      <c r="E204" s="368"/>
      <c r="F204" s="368"/>
      <c r="G204" s="368"/>
      <c r="H204" s="368"/>
      <c r="I204" s="368"/>
      <c r="J204" s="368"/>
      <c r="K204" s="368"/>
      <c r="L204" s="368"/>
      <c r="M204" s="368"/>
      <c r="N204" s="368"/>
      <c r="O204" s="368"/>
      <c r="P204" s="368"/>
      <c r="Q204" s="368"/>
      <c r="R204" s="368"/>
      <c r="S204" s="368"/>
      <c r="T204" s="368"/>
      <c r="U204" s="368"/>
      <c r="V204" s="368"/>
      <c r="W204" s="368"/>
      <c r="X204" s="368"/>
      <c r="Y204" s="368"/>
      <c r="Z204" s="368"/>
      <c r="AA204" s="368"/>
      <c r="AB204" s="368"/>
      <c r="AC204" s="368"/>
      <c r="AD204" s="368"/>
      <c r="AE204" s="368"/>
      <c r="AF204" s="369"/>
      <c r="AG204" s="369"/>
      <c r="AH204" s="368"/>
      <c r="AI204" s="368"/>
    </row>
    <row r="205" spans="1:35" x14ac:dyDescent="0.2">
      <c r="A205" s="368"/>
      <c r="B205" s="368"/>
      <c r="C205" s="368"/>
      <c r="D205" s="368"/>
      <c r="E205" s="368"/>
      <c r="F205" s="368"/>
      <c r="G205" s="368"/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9"/>
      <c r="AG205" s="369"/>
      <c r="AH205" s="368"/>
      <c r="AI205" s="368"/>
    </row>
    <row r="206" spans="1:35" x14ac:dyDescent="0.2">
      <c r="A206" s="368"/>
      <c r="B206" s="368"/>
      <c r="C206" s="368"/>
      <c r="D206" s="368"/>
      <c r="E206" s="368"/>
      <c r="F206" s="368"/>
      <c r="G206" s="368"/>
      <c r="H206" s="368"/>
      <c r="I206" s="368"/>
      <c r="J206" s="368"/>
      <c r="K206" s="368"/>
      <c r="L206" s="368"/>
      <c r="M206" s="368"/>
      <c r="N206" s="368"/>
      <c r="O206" s="368"/>
      <c r="P206" s="368"/>
      <c r="Q206" s="368"/>
      <c r="R206" s="368"/>
      <c r="S206" s="368"/>
      <c r="T206" s="368"/>
      <c r="U206" s="368"/>
      <c r="V206" s="368"/>
      <c r="W206" s="368"/>
      <c r="X206" s="368"/>
      <c r="Y206" s="368"/>
      <c r="Z206" s="368"/>
      <c r="AA206" s="368"/>
      <c r="AB206" s="368"/>
      <c r="AC206" s="368"/>
      <c r="AD206" s="368"/>
      <c r="AE206" s="368"/>
      <c r="AF206" s="369"/>
      <c r="AG206" s="369"/>
      <c r="AH206" s="368"/>
      <c r="AI206" s="368"/>
    </row>
    <row r="207" spans="1:35" x14ac:dyDescent="0.2">
      <c r="A207" s="368"/>
      <c r="B207" s="368"/>
      <c r="C207" s="368"/>
      <c r="D207" s="368"/>
      <c r="E207" s="368"/>
      <c r="F207" s="368"/>
      <c r="G207" s="368"/>
      <c r="H207" s="368"/>
      <c r="I207" s="368"/>
      <c r="J207" s="368"/>
      <c r="K207" s="368"/>
      <c r="L207" s="368"/>
      <c r="M207" s="368"/>
      <c r="N207" s="368"/>
      <c r="O207" s="368"/>
      <c r="P207" s="368"/>
      <c r="Q207" s="368"/>
      <c r="R207" s="368"/>
      <c r="S207" s="368"/>
      <c r="T207" s="368"/>
      <c r="U207" s="368"/>
      <c r="V207" s="368"/>
      <c r="W207" s="368"/>
      <c r="X207" s="368"/>
      <c r="Y207" s="368"/>
      <c r="Z207" s="368"/>
      <c r="AA207" s="368"/>
      <c r="AB207" s="368"/>
      <c r="AC207" s="368"/>
      <c r="AD207" s="368"/>
      <c r="AE207" s="368"/>
      <c r="AF207" s="369"/>
      <c r="AG207" s="369"/>
      <c r="AH207" s="368"/>
      <c r="AI207" s="368"/>
    </row>
    <row r="208" spans="1:35" x14ac:dyDescent="0.2">
      <c r="A208" s="368"/>
      <c r="B208" s="368"/>
      <c r="C208" s="368"/>
      <c r="D208" s="368"/>
      <c r="E208" s="368"/>
      <c r="F208" s="368"/>
      <c r="G208" s="368"/>
      <c r="H208" s="368"/>
      <c r="I208" s="368"/>
      <c r="J208" s="368"/>
      <c r="K208" s="368"/>
      <c r="L208" s="368"/>
      <c r="M208" s="368"/>
      <c r="N208" s="368"/>
      <c r="O208" s="368"/>
      <c r="P208" s="368"/>
      <c r="Q208" s="368"/>
      <c r="R208" s="368"/>
      <c r="S208" s="368"/>
      <c r="T208" s="368"/>
      <c r="U208" s="368"/>
      <c r="V208" s="368"/>
      <c r="W208" s="368"/>
      <c r="X208" s="368"/>
      <c r="Y208" s="368"/>
      <c r="Z208" s="368"/>
      <c r="AA208" s="368"/>
      <c r="AB208" s="368"/>
      <c r="AC208" s="368"/>
      <c r="AD208" s="368"/>
      <c r="AE208" s="368"/>
      <c r="AF208" s="369"/>
      <c r="AG208" s="369"/>
      <c r="AH208" s="368"/>
      <c r="AI208" s="368"/>
    </row>
    <row r="209" spans="1:35" x14ac:dyDescent="0.2">
      <c r="A209" s="368"/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9"/>
      <c r="AG209" s="369"/>
      <c r="AH209" s="368"/>
      <c r="AI209" s="368"/>
    </row>
    <row r="210" spans="1:35" x14ac:dyDescent="0.2">
      <c r="A210" s="368"/>
      <c r="B210" s="368"/>
      <c r="C210" s="368"/>
      <c r="D210" s="368"/>
      <c r="E210" s="368"/>
      <c r="F210" s="368"/>
      <c r="G210" s="368"/>
      <c r="H210" s="368"/>
      <c r="I210" s="368"/>
      <c r="J210" s="368"/>
      <c r="K210" s="368"/>
      <c r="L210" s="368"/>
      <c r="M210" s="368"/>
      <c r="N210" s="368"/>
      <c r="O210" s="368"/>
      <c r="P210" s="368"/>
      <c r="Q210" s="368"/>
      <c r="R210" s="368"/>
      <c r="S210" s="368"/>
      <c r="T210" s="368"/>
      <c r="U210" s="368"/>
      <c r="V210" s="368"/>
      <c r="W210" s="368"/>
      <c r="X210" s="368"/>
      <c r="Y210" s="368"/>
      <c r="Z210" s="368"/>
      <c r="AA210" s="368"/>
      <c r="AB210" s="368"/>
      <c r="AC210" s="368"/>
      <c r="AD210" s="368"/>
      <c r="AE210" s="368"/>
      <c r="AF210" s="369"/>
      <c r="AG210" s="369"/>
      <c r="AH210" s="368"/>
      <c r="AI210" s="368"/>
    </row>
    <row r="211" spans="1:35" x14ac:dyDescent="0.2">
      <c r="A211" s="368"/>
      <c r="B211" s="368"/>
      <c r="C211" s="368"/>
      <c r="D211" s="368"/>
      <c r="E211" s="368"/>
      <c r="F211" s="368"/>
      <c r="G211" s="368"/>
      <c r="H211" s="368"/>
      <c r="I211" s="368"/>
      <c r="J211" s="368"/>
      <c r="K211" s="368"/>
      <c r="L211" s="368"/>
      <c r="M211" s="368"/>
      <c r="N211" s="368"/>
      <c r="O211" s="368"/>
      <c r="P211" s="368"/>
      <c r="Q211" s="368"/>
      <c r="R211" s="368"/>
      <c r="S211" s="368"/>
      <c r="T211" s="368"/>
      <c r="U211" s="368"/>
      <c r="V211" s="368"/>
      <c r="W211" s="368"/>
      <c r="X211" s="368"/>
      <c r="Y211" s="368"/>
      <c r="Z211" s="368"/>
      <c r="AA211" s="368"/>
      <c r="AB211" s="368"/>
      <c r="AC211" s="368"/>
      <c r="AD211" s="368"/>
      <c r="AE211" s="368"/>
      <c r="AF211" s="369"/>
      <c r="AG211" s="369"/>
      <c r="AH211" s="368"/>
      <c r="AI211" s="368"/>
    </row>
    <row r="212" spans="1:35" x14ac:dyDescent="0.2">
      <c r="A212" s="368"/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  <c r="O212" s="368"/>
      <c r="P212" s="368"/>
      <c r="Q212" s="368"/>
      <c r="R212" s="368"/>
      <c r="S212" s="368"/>
      <c r="T212" s="368"/>
      <c r="U212" s="368"/>
      <c r="V212" s="368"/>
      <c r="W212" s="368"/>
      <c r="X212" s="368"/>
      <c r="Y212" s="368"/>
      <c r="Z212" s="368"/>
      <c r="AA212" s="368"/>
      <c r="AB212" s="368"/>
      <c r="AC212" s="368"/>
      <c r="AD212" s="368"/>
      <c r="AE212" s="368"/>
      <c r="AF212" s="369"/>
      <c r="AG212" s="369"/>
      <c r="AH212" s="368"/>
      <c r="AI212" s="368"/>
    </row>
    <row r="213" spans="1:35" x14ac:dyDescent="0.2">
      <c r="A213" s="368"/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  <c r="O213" s="368"/>
      <c r="P213" s="368"/>
      <c r="Q213" s="368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9"/>
      <c r="AG213" s="369"/>
      <c r="AH213" s="368"/>
      <c r="AI213" s="368"/>
    </row>
    <row r="214" spans="1:35" x14ac:dyDescent="0.2">
      <c r="A214" s="368"/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  <c r="O214" s="368"/>
      <c r="P214" s="368"/>
      <c r="Q214" s="368"/>
      <c r="R214" s="368"/>
      <c r="S214" s="368"/>
      <c r="T214" s="368"/>
      <c r="U214" s="368"/>
      <c r="V214" s="368"/>
      <c r="W214" s="368"/>
      <c r="X214" s="368"/>
      <c r="Y214" s="368"/>
      <c r="Z214" s="368"/>
      <c r="AA214" s="368"/>
      <c r="AB214" s="368"/>
      <c r="AC214" s="368"/>
      <c r="AD214" s="368"/>
      <c r="AE214" s="368"/>
      <c r="AF214" s="369"/>
      <c r="AG214" s="369"/>
      <c r="AH214" s="368"/>
      <c r="AI214" s="368"/>
    </row>
    <row r="215" spans="1:35" x14ac:dyDescent="0.2">
      <c r="A215" s="368"/>
      <c r="B215" s="368"/>
      <c r="C215" s="368"/>
      <c r="D215" s="368"/>
      <c r="E215" s="368"/>
      <c r="F215" s="368"/>
      <c r="G215" s="368"/>
      <c r="H215" s="368"/>
      <c r="I215" s="368"/>
      <c r="J215" s="368"/>
      <c r="K215" s="368"/>
      <c r="L215" s="368"/>
      <c r="M215" s="368"/>
      <c r="N215" s="368"/>
      <c r="O215" s="368"/>
      <c r="P215" s="368"/>
      <c r="Q215" s="368"/>
      <c r="R215" s="368"/>
      <c r="S215" s="368"/>
      <c r="T215" s="368"/>
      <c r="U215" s="368"/>
      <c r="V215" s="368"/>
      <c r="W215" s="368"/>
      <c r="X215" s="368"/>
      <c r="Y215" s="368"/>
      <c r="Z215" s="368"/>
      <c r="AA215" s="368"/>
      <c r="AB215" s="368"/>
      <c r="AC215" s="368"/>
      <c r="AD215" s="368"/>
      <c r="AE215" s="368"/>
      <c r="AF215" s="369"/>
      <c r="AG215" s="369"/>
      <c r="AH215" s="368"/>
      <c r="AI215" s="368"/>
    </row>
    <row r="216" spans="1:35" x14ac:dyDescent="0.2">
      <c r="A216" s="368"/>
      <c r="B216" s="368"/>
      <c r="C216" s="368"/>
      <c r="D216" s="368"/>
      <c r="E216" s="368"/>
      <c r="F216" s="368"/>
      <c r="G216" s="368"/>
      <c r="H216" s="368"/>
      <c r="I216" s="368"/>
      <c r="J216" s="368"/>
      <c r="K216" s="368"/>
      <c r="L216" s="368"/>
      <c r="M216" s="368"/>
      <c r="N216" s="368"/>
      <c r="O216" s="368"/>
      <c r="P216" s="368"/>
      <c r="Q216" s="368"/>
      <c r="R216" s="368"/>
      <c r="S216" s="368"/>
      <c r="T216" s="368"/>
      <c r="U216" s="368"/>
      <c r="V216" s="368"/>
      <c r="W216" s="368"/>
      <c r="X216" s="368"/>
      <c r="Y216" s="368"/>
      <c r="Z216" s="368"/>
      <c r="AA216" s="368"/>
      <c r="AB216" s="368"/>
      <c r="AC216" s="368"/>
      <c r="AD216" s="368"/>
      <c r="AE216" s="368"/>
      <c r="AF216" s="369"/>
      <c r="AG216" s="369"/>
      <c r="AH216" s="368"/>
      <c r="AI216" s="368"/>
    </row>
    <row r="217" spans="1:35" x14ac:dyDescent="0.2">
      <c r="A217" s="368"/>
      <c r="B217" s="368"/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  <c r="O217" s="368"/>
      <c r="P217" s="368"/>
      <c r="Q217" s="368"/>
      <c r="R217" s="368"/>
      <c r="S217" s="368"/>
      <c r="T217" s="368"/>
      <c r="U217" s="368"/>
      <c r="V217" s="368"/>
      <c r="W217" s="368"/>
      <c r="X217" s="368"/>
      <c r="Y217" s="368"/>
      <c r="Z217" s="368"/>
      <c r="AA217" s="368"/>
      <c r="AB217" s="368"/>
      <c r="AC217" s="368"/>
      <c r="AD217" s="368"/>
      <c r="AE217" s="368"/>
      <c r="AF217" s="369"/>
      <c r="AG217" s="369"/>
      <c r="AH217" s="368"/>
      <c r="AI217" s="368"/>
    </row>
    <row r="218" spans="1:35" x14ac:dyDescent="0.2">
      <c r="A218" s="368"/>
      <c r="B218" s="368"/>
      <c r="C218" s="368"/>
      <c r="D218" s="368"/>
      <c r="E218" s="368"/>
      <c r="F218" s="368"/>
      <c r="G218" s="368"/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8"/>
      <c r="Y218" s="368"/>
      <c r="Z218" s="368"/>
      <c r="AA218" s="368"/>
      <c r="AB218" s="368"/>
      <c r="AC218" s="368"/>
      <c r="AD218" s="368"/>
      <c r="AE218" s="368"/>
      <c r="AF218" s="369"/>
      <c r="AG218" s="369"/>
      <c r="AH218" s="368"/>
      <c r="AI218" s="368"/>
    </row>
    <row r="219" spans="1:35" x14ac:dyDescent="0.2">
      <c r="A219" s="368"/>
      <c r="B219" s="368"/>
      <c r="C219" s="368"/>
      <c r="D219" s="368"/>
      <c r="E219" s="368"/>
      <c r="F219" s="368"/>
      <c r="G219" s="368"/>
      <c r="H219" s="368"/>
      <c r="I219" s="368"/>
      <c r="J219" s="368"/>
      <c r="K219" s="368"/>
      <c r="L219" s="368"/>
      <c r="M219" s="368"/>
      <c r="N219" s="368"/>
      <c r="O219" s="368"/>
      <c r="P219" s="368"/>
      <c r="Q219" s="368"/>
      <c r="R219" s="368"/>
      <c r="S219" s="368"/>
      <c r="T219" s="368"/>
      <c r="U219" s="368"/>
      <c r="V219" s="368"/>
      <c r="W219" s="368"/>
      <c r="X219" s="368"/>
      <c r="Y219" s="368"/>
      <c r="Z219" s="368"/>
      <c r="AA219" s="368"/>
      <c r="AB219" s="368"/>
      <c r="AC219" s="368"/>
      <c r="AD219" s="368"/>
      <c r="AE219" s="368"/>
      <c r="AF219" s="369"/>
      <c r="AG219" s="369"/>
      <c r="AH219" s="368"/>
      <c r="AI219" s="368"/>
    </row>
    <row r="220" spans="1:35" x14ac:dyDescent="0.2">
      <c r="A220" s="368"/>
      <c r="B220" s="368"/>
      <c r="C220" s="368"/>
      <c r="D220" s="368"/>
      <c r="E220" s="368"/>
      <c r="F220" s="368"/>
      <c r="G220" s="368"/>
      <c r="H220" s="368"/>
      <c r="I220" s="368"/>
      <c r="J220" s="368"/>
      <c r="K220" s="368"/>
      <c r="L220" s="368"/>
      <c r="M220" s="368"/>
      <c r="N220" s="368"/>
      <c r="O220" s="368"/>
      <c r="P220" s="368"/>
      <c r="Q220" s="368"/>
      <c r="R220" s="368"/>
      <c r="S220" s="368"/>
      <c r="T220" s="368"/>
      <c r="U220" s="368"/>
      <c r="V220" s="368"/>
      <c r="W220" s="368"/>
      <c r="X220" s="368"/>
      <c r="Y220" s="368"/>
      <c r="Z220" s="368"/>
      <c r="AA220" s="368"/>
      <c r="AB220" s="368"/>
      <c r="AC220" s="368"/>
      <c r="AD220" s="368"/>
      <c r="AE220" s="368"/>
      <c r="AF220" s="369"/>
      <c r="AG220" s="369"/>
      <c r="AH220" s="368"/>
      <c r="AI220" s="368"/>
    </row>
    <row r="221" spans="1:35" x14ac:dyDescent="0.2">
      <c r="A221" s="368"/>
      <c r="B221" s="368"/>
      <c r="C221" s="368"/>
      <c r="D221" s="368"/>
      <c r="E221" s="368"/>
      <c r="F221" s="368"/>
      <c r="G221" s="368"/>
      <c r="H221" s="368"/>
      <c r="I221" s="368"/>
      <c r="J221" s="368"/>
      <c r="K221" s="368"/>
      <c r="L221" s="368"/>
      <c r="M221" s="368"/>
      <c r="N221" s="368"/>
      <c r="O221" s="368"/>
      <c r="P221" s="368"/>
      <c r="Q221" s="368"/>
      <c r="R221" s="368"/>
      <c r="S221" s="368"/>
      <c r="T221" s="368"/>
      <c r="U221" s="368"/>
      <c r="V221" s="368"/>
      <c r="W221" s="368"/>
      <c r="X221" s="368"/>
      <c r="Y221" s="368"/>
      <c r="Z221" s="368"/>
      <c r="AA221" s="368"/>
      <c r="AB221" s="368"/>
      <c r="AC221" s="368"/>
      <c r="AD221" s="368"/>
      <c r="AE221" s="368"/>
      <c r="AF221" s="369"/>
      <c r="AG221" s="369"/>
      <c r="AH221" s="368"/>
      <c r="AI221" s="368"/>
    </row>
    <row r="222" spans="1:35" x14ac:dyDescent="0.2">
      <c r="A222" s="368"/>
      <c r="B222" s="368"/>
      <c r="C222" s="368"/>
      <c r="D222" s="368"/>
      <c r="E222" s="368"/>
      <c r="F222" s="368"/>
      <c r="G222" s="368"/>
      <c r="H222" s="368"/>
      <c r="I222" s="36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8"/>
      <c r="Y222" s="368"/>
      <c r="Z222" s="368"/>
      <c r="AA222" s="368"/>
      <c r="AB222" s="368"/>
      <c r="AC222" s="368"/>
      <c r="AD222" s="368"/>
      <c r="AE222" s="368"/>
      <c r="AF222" s="369"/>
      <c r="AG222" s="369"/>
      <c r="AH222" s="368"/>
      <c r="AI222" s="368"/>
    </row>
    <row r="223" spans="1:35" x14ac:dyDescent="0.2">
      <c r="A223" s="368"/>
      <c r="B223" s="368"/>
      <c r="C223" s="368"/>
      <c r="D223" s="368"/>
      <c r="E223" s="368"/>
      <c r="F223" s="368"/>
      <c r="G223" s="368"/>
      <c r="H223" s="368"/>
      <c r="I223" s="368"/>
      <c r="J223" s="368"/>
      <c r="K223" s="368"/>
      <c r="L223" s="368"/>
      <c r="M223" s="368"/>
      <c r="N223" s="368"/>
      <c r="O223" s="368"/>
      <c r="P223" s="368"/>
      <c r="Q223" s="368"/>
      <c r="R223" s="368"/>
      <c r="S223" s="368"/>
      <c r="T223" s="368"/>
      <c r="U223" s="368"/>
      <c r="V223" s="368"/>
      <c r="W223" s="368"/>
      <c r="X223" s="368"/>
      <c r="Y223" s="368"/>
      <c r="Z223" s="368"/>
      <c r="AA223" s="368"/>
      <c r="AB223" s="368"/>
      <c r="AC223" s="368"/>
      <c r="AD223" s="368"/>
      <c r="AE223" s="368"/>
      <c r="AF223" s="369"/>
      <c r="AG223" s="369"/>
      <c r="AH223" s="368"/>
      <c r="AI223" s="368"/>
    </row>
    <row r="224" spans="1:35" x14ac:dyDescent="0.2">
      <c r="A224" s="368"/>
      <c r="B224" s="368"/>
      <c r="C224" s="368"/>
      <c r="D224" s="368"/>
      <c r="E224" s="368"/>
      <c r="F224" s="368"/>
      <c r="G224" s="368"/>
      <c r="H224" s="368"/>
      <c r="I224" s="368"/>
      <c r="J224" s="368"/>
      <c r="K224" s="368"/>
      <c r="L224" s="368"/>
      <c r="M224" s="368"/>
      <c r="N224" s="368"/>
      <c r="O224" s="368"/>
      <c r="P224" s="368"/>
      <c r="Q224" s="368"/>
      <c r="R224" s="368"/>
      <c r="S224" s="368"/>
      <c r="T224" s="368"/>
      <c r="U224" s="368"/>
      <c r="V224" s="368"/>
      <c r="W224" s="368"/>
      <c r="X224" s="368"/>
      <c r="Y224" s="368"/>
      <c r="Z224" s="368"/>
      <c r="AA224" s="368"/>
      <c r="AB224" s="368"/>
      <c r="AC224" s="368"/>
      <c r="AD224" s="368"/>
      <c r="AE224" s="368"/>
      <c r="AF224" s="369"/>
      <c r="AG224" s="369"/>
      <c r="AH224" s="368"/>
      <c r="AI224" s="368"/>
    </row>
    <row r="225" spans="1:35" x14ac:dyDescent="0.2">
      <c r="A225" s="368"/>
      <c r="B225" s="368"/>
      <c r="C225" s="368"/>
      <c r="D225" s="368"/>
      <c r="E225" s="368"/>
      <c r="F225" s="368"/>
      <c r="G225" s="368"/>
      <c r="H225" s="368"/>
      <c r="I225" s="368"/>
      <c r="J225" s="368"/>
      <c r="K225" s="368"/>
      <c r="L225" s="368"/>
      <c r="M225" s="368"/>
      <c r="N225" s="368"/>
      <c r="O225" s="368"/>
      <c r="P225" s="368"/>
      <c r="Q225" s="368"/>
      <c r="R225" s="368"/>
      <c r="S225" s="368"/>
      <c r="T225" s="368"/>
      <c r="U225" s="368"/>
      <c r="V225" s="368"/>
      <c r="W225" s="368"/>
      <c r="X225" s="368"/>
      <c r="Y225" s="368"/>
      <c r="Z225" s="368"/>
      <c r="AA225" s="368"/>
      <c r="AB225" s="368"/>
      <c r="AC225" s="368"/>
      <c r="AD225" s="368"/>
      <c r="AE225" s="368"/>
      <c r="AF225" s="369"/>
      <c r="AG225" s="369"/>
      <c r="AH225" s="368"/>
      <c r="AI225" s="368"/>
    </row>
    <row r="226" spans="1:35" x14ac:dyDescent="0.2">
      <c r="A226" s="368"/>
      <c r="B226" s="368"/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/>
      <c r="U226" s="368"/>
      <c r="V226" s="368"/>
      <c r="W226" s="368"/>
      <c r="X226" s="368"/>
      <c r="Y226" s="368"/>
      <c r="Z226" s="368"/>
      <c r="AA226" s="368"/>
      <c r="AB226" s="368"/>
      <c r="AC226" s="368"/>
      <c r="AD226" s="368"/>
      <c r="AE226" s="368"/>
      <c r="AF226" s="369"/>
      <c r="AG226" s="369"/>
      <c r="AH226" s="368"/>
      <c r="AI226" s="368"/>
    </row>
    <row r="227" spans="1:35" x14ac:dyDescent="0.2">
      <c r="A227" s="368"/>
      <c r="B227" s="368"/>
      <c r="C227" s="368"/>
      <c r="D227" s="368"/>
      <c r="E227" s="368"/>
      <c r="F227" s="368"/>
      <c r="G227" s="368"/>
      <c r="H227" s="368"/>
      <c r="I227" s="368"/>
      <c r="J227" s="368"/>
      <c r="K227" s="368"/>
      <c r="L227" s="368"/>
      <c r="M227" s="368"/>
      <c r="N227" s="368"/>
      <c r="O227" s="368"/>
      <c r="P227" s="368"/>
      <c r="Q227" s="368"/>
      <c r="R227" s="368"/>
      <c r="S227" s="368"/>
      <c r="T227" s="368"/>
      <c r="U227" s="368"/>
      <c r="V227" s="368"/>
      <c r="W227" s="368"/>
      <c r="X227" s="368"/>
      <c r="Y227" s="368"/>
      <c r="Z227" s="368"/>
      <c r="AA227" s="368"/>
      <c r="AB227" s="368"/>
      <c r="AC227" s="368"/>
      <c r="AD227" s="368"/>
      <c r="AE227" s="368"/>
      <c r="AF227" s="369"/>
      <c r="AG227" s="369"/>
      <c r="AH227" s="368"/>
      <c r="AI227" s="368"/>
    </row>
    <row r="228" spans="1:35" x14ac:dyDescent="0.2">
      <c r="A228" s="368"/>
      <c r="B228" s="368"/>
      <c r="C228" s="368"/>
      <c r="D228" s="368"/>
      <c r="E228" s="368"/>
      <c r="F228" s="368"/>
      <c r="G228" s="368"/>
      <c r="H228" s="368"/>
      <c r="I228" s="368"/>
      <c r="J228" s="368"/>
      <c r="K228" s="368"/>
      <c r="L228" s="368"/>
      <c r="M228" s="368"/>
      <c r="N228" s="368"/>
      <c r="O228" s="368"/>
      <c r="P228" s="368"/>
      <c r="Q228" s="368"/>
      <c r="R228" s="368"/>
      <c r="S228" s="368"/>
      <c r="T228" s="368"/>
      <c r="U228" s="368"/>
      <c r="V228" s="368"/>
      <c r="W228" s="368"/>
      <c r="X228" s="368"/>
      <c r="Y228" s="368"/>
      <c r="Z228" s="368"/>
      <c r="AA228" s="368"/>
      <c r="AB228" s="368"/>
      <c r="AC228" s="368"/>
      <c r="AD228" s="368"/>
      <c r="AE228" s="368"/>
      <c r="AF228" s="369"/>
      <c r="AG228" s="369"/>
      <c r="AH228" s="368"/>
      <c r="AI228" s="368"/>
    </row>
    <row r="229" spans="1:35" x14ac:dyDescent="0.2">
      <c r="A229" s="368"/>
      <c r="B229" s="368"/>
      <c r="C229" s="368"/>
      <c r="D229" s="368"/>
      <c r="E229" s="368"/>
      <c r="F229" s="368"/>
      <c r="G229" s="368"/>
      <c r="H229" s="368"/>
      <c r="I229" s="368"/>
      <c r="J229" s="368"/>
      <c r="K229" s="368"/>
      <c r="L229" s="368"/>
      <c r="M229" s="368"/>
      <c r="N229" s="368"/>
      <c r="O229" s="368"/>
      <c r="P229" s="368"/>
      <c r="Q229" s="368"/>
      <c r="R229" s="368"/>
      <c r="S229" s="368"/>
      <c r="T229" s="368"/>
      <c r="U229" s="368"/>
      <c r="V229" s="368"/>
      <c r="W229" s="368"/>
      <c r="X229" s="368"/>
      <c r="Y229" s="368"/>
      <c r="Z229" s="368"/>
      <c r="AA229" s="368"/>
      <c r="AB229" s="368"/>
      <c r="AC229" s="368"/>
      <c r="AD229" s="368"/>
      <c r="AE229" s="368"/>
      <c r="AF229" s="369"/>
      <c r="AG229" s="369"/>
      <c r="AH229" s="368"/>
      <c r="AI229" s="368"/>
    </row>
    <row r="230" spans="1:35" x14ac:dyDescent="0.2">
      <c r="A230" s="368"/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9"/>
      <c r="AG230" s="369"/>
      <c r="AH230" s="368"/>
      <c r="AI230" s="368"/>
    </row>
    <row r="231" spans="1:35" x14ac:dyDescent="0.2">
      <c r="A231" s="368"/>
      <c r="B231" s="368"/>
      <c r="C231" s="368"/>
      <c r="D231" s="368"/>
      <c r="E231" s="368"/>
      <c r="F231" s="368"/>
      <c r="G231" s="368"/>
      <c r="H231" s="368"/>
      <c r="I231" s="368"/>
      <c r="J231" s="368"/>
      <c r="K231" s="368"/>
      <c r="L231" s="368"/>
      <c r="M231" s="368"/>
      <c r="N231" s="368"/>
      <c r="O231" s="368"/>
      <c r="P231" s="368"/>
      <c r="Q231" s="368"/>
      <c r="R231" s="368"/>
      <c r="S231" s="368"/>
      <c r="T231" s="368"/>
      <c r="U231" s="368"/>
      <c r="V231" s="368"/>
      <c r="W231" s="368"/>
      <c r="X231" s="368"/>
      <c r="Y231" s="368"/>
      <c r="Z231" s="368"/>
      <c r="AA231" s="368"/>
      <c r="AB231" s="368"/>
      <c r="AC231" s="368"/>
      <c r="AD231" s="368"/>
      <c r="AE231" s="368"/>
      <c r="AF231" s="369"/>
      <c r="AG231" s="369"/>
      <c r="AH231" s="368"/>
      <c r="AI231" s="368"/>
    </row>
    <row r="232" spans="1:35" x14ac:dyDescent="0.2">
      <c r="A232" s="368"/>
      <c r="B232" s="368"/>
      <c r="C232" s="368"/>
      <c r="D232" s="368"/>
      <c r="E232" s="368"/>
      <c r="F232" s="368"/>
      <c r="G232" s="368"/>
      <c r="H232" s="368"/>
      <c r="I232" s="368"/>
      <c r="J232" s="368"/>
      <c r="K232" s="368"/>
      <c r="L232" s="368"/>
      <c r="M232" s="368"/>
      <c r="N232" s="368"/>
      <c r="O232" s="368"/>
      <c r="P232" s="368"/>
      <c r="Q232" s="368"/>
      <c r="R232" s="368"/>
      <c r="S232" s="368"/>
      <c r="T232" s="368"/>
      <c r="U232" s="368"/>
      <c r="V232" s="368"/>
      <c r="W232" s="368"/>
      <c r="X232" s="368"/>
      <c r="Y232" s="368"/>
      <c r="Z232" s="368"/>
      <c r="AA232" s="368"/>
      <c r="AB232" s="368"/>
      <c r="AC232" s="368"/>
      <c r="AD232" s="368"/>
      <c r="AE232" s="368"/>
      <c r="AF232" s="369"/>
      <c r="AG232" s="369"/>
      <c r="AH232" s="368"/>
      <c r="AI232" s="368"/>
    </row>
    <row r="233" spans="1:35" x14ac:dyDescent="0.2">
      <c r="A233" s="368"/>
      <c r="B233" s="368"/>
      <c r="C233" s="368"/>
      <c r="D233" s="368"/>
      <c r="E233" s="368"/>
      <c r="F233" s="368"/>
      <c r="G233" s="368"/>
      <c r="H233" s="368"/>
      <c r="I233" s="368"/>
      <c r="J233" s="368"/>
      <c r="K233" s="368"/>
      <c r="L233" s="368"/>
      <c r="M233" s="368"/>
      <c r="N233" s="368"/>
      <c r="O233" s="368"/>
      <c r="P233" s="368"/>
      <c r="Q233" s="368"/>
      <c r="R233" s="368"/>
      <c r="S233" s="368"/>
      <c r="T233" s="368"/>
      <c r="U233" s="368"/>
      <c r="V233" s="368"/>
      <c r="W233" s="368"/>
      <c r="X233" s="368"/>
      <c r="Y233" s="368"/>
      <c r="Z233" s="368"/>
      <c r="AA233" s="368"/>
      <c r="AB233" s="368"/>
      <c r="AC233" s="368"/>
      <c r="AD233" s="368"/>
      <c r="AE233" s="368"/>
      <c r="AF233" s="369"/>
      <c r="AG233" s="369"/>
      <c r="AH233" s="368"/>
      <c r="AI233" s="368"/>
    </row>
    <row r="234" spans="1:35" x14ac:dyDescent="0.2">
      <c r="A234" s="368"/>
      <c r="B234" s="368"/>
      <c r="C234" s="368"/>
      <c r="D234" s="368"/>
      <c r="E234" s="368"/>
      <c r="F234" s="368"/>
      <c r="G234" s="368"/>
      <c r="H234" s="368"/>
      <c r="I234" s="368"/>
      <c r="J234" s="368"/>
      <c r="K234" s="368"/>
      <c r="L234" s="368"/>
      <c r="M234" s="368"/>
      <c r="N234" s="368"/>
      <c r="O234" s="368"/>
      <c r="P234" s="368"/>
      <c r="Q234" s="368"/>
      <c r="R234" s="368"/>
      <c r="S234" s="368"/>
      <c r="T234" s="368"/>
      <c r="U234" s="368"/>
      <c r="V234" s="368"/>
      <c r="W234" s="368"/>
      <c r="X234" s="368"/>
      <c r="Y234" s="368"/>
      <c r="Z234" s="368"/>
      <c r="AA234" s="368"/>
      <c r="AB234" s="368"/>
      <c r="AC234" s="368"/>
      <c r="AD234" s="368"/>
      <c r="AE234" s="368"/>
      <c r="AF234" s="369"/>
      <c r="AG234" s="369"/>
      <c r="AH234" s="368"/>
      <c r="AI234" s="368"/>
    </row>
    <row r="235" spans="1:35" x14ac:dyDescent="0.2">
      <c r="A235" s="368"/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8"/>
      <c r="AF235" s="369"/>
      <c r="AG235" s="369"/>
      <c r="AH235" s="368"/>
      <c r="AI235" s="368"/>
    </row>
    <row r="236" spans="1:35" x14ac:dyDescent="0.2">
      <c r="A236" s="368"/>
      <c r="B236" s="368"/>
      <c r="C236" s="368"/>
      <c r="D236" s="368"/>
      <c r="E236" s="368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8"/>
      <c r="Y236" s="368"/>
      <c r="Z236" s="368"/>
      <c r="AA236" s="368"/>
      <c r="AB236" s="368"/>
      <c r="AC236" s="368"/>
      <c r="AD236" s="368"/>
      <c r="AE236" s="368"/>
      <c r="AF236" s="369"/>
      <c r="AG236" s="369"/>
      <c r="AH236" s="368"/>
      <c r="AI236" s="368"/>
    </row>
    <row r="237" spans="1:35" x14ac:dyDescent="0.2">
      <c r="A237" s="368"/>
      <c r="B237" s="368"/>
      <c r="C237" s="368"/>
      <c r="D237" s="368"/>
      <c r="E237" s="368"/>
      <c r="F237" s="368"/>
      <c r="G237" s="368"/>
      <c r="H237" s="368"/>
      <c r="I237" s="368"/>
      <c r="J237" s="368"/>
      <c r="K237" s="368"/>
      <c r="L237" s="368"/>
      <c r="M237" s="368"/>
      <c r="N237" s="368"/>
      <c r="O237" s="368"/>
      <c r="P237" s="368"/>
      <c r="Q237" s="368"/>
      <c r="R237" s="368"/>
      <c r="S237" s="368"/>
      <c r="T237" s="368"/>
      <c r="U237" s="368"/>
      <c r="V237" s="368"/>
      <c r="W237" s="368"/>
      <c r="X237" s="368"/>
      <c r="Y237" s="368"/>
      <c r="Z237" s="368"/>
      <c r="AA237" s="368"/>
      <c r="AB237" s="368"/>
      <c r="AC237" s="368"/>
      <c r="AD237" s="368"/>
      <c r="AE237" s="368"/>
      <c r="AF237" s="369"/>
      <c r="AG237" s="369"/>
      <c r="AH237" s="368"/>
      <c r="AI237" s="368"/>
    </row>
    <row r="238" spans="1:35" x14ac:dyDescent="0.2">
      <c r="A238" s="368"/>
      <c r="B238" s="368"/>
      <c r="C238" s="368"/>
      <c r="D238" s="368"/>
      <c r="E238" s="368"/>
      <c r="F238" s="368"/>
      <c r="G238" s="368"/>
      <c r="H238" s="368"/>
      <c r="I238" s="368"/>
      <c r="J238" s="368"/>
      <c r="K238" s="368"/>
      <c r="L238" s="368"/>
      <c r="M238" s="368"/>
      <c r="N238" s="368"/>
      <c r="O238" s="368"/>
      <c r="P238" s="368"/>
      <c r="Q238" s="368"/>
      <c r="R238" s="368"/>
      <c r="S238" s="368"/>
      <c r="T238" s="368"/>
      <c r="U238" s="368"/>
      <c r="V238" s="368"/>
      <c r="W238" s="368"/>
      <c r="X238" s="368"/>
      <c r="Y238" s="368"/>
      <c r="Z238" s="368"/>
      <c r="AA238" s="368"/>
      <c r="AB238" s="368"/>
      <c r="AC238" s="368"/>
      <c r="AD238" s="368"/>
      <c r="AE238" s="368"/>
      <c r="AF238" s="369"/>
      <c r="AG238" s="369"/>
      <c r="AH238" s="368"/>
      <c r="AI238" s="368"/>
    </row>
    <row r="239" spans="1:35" x14ac:dyDescent="0.2">
      <c r="A239" s="368"/>
      <c r="B239" s="368"/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  <c r="O239" s="368"/>
      <c r="P239" s="368"/>
      <c r="Q239" s="368"/>
      <c r="R239" s="368"/>
      <c r="S239" s="368"/>
      <c r="T239" s="368"/>
      <c r="U239" s="368"/>
      <c r="V239" s="368"/>
      <c r="W239" s="368"/>
      <c r="X239" s="368"/>
      <c r="Y239" s="368"/>
      <c r="Z239" s="368"/>
      <c r="AA239" s="368"/>
      <c r="AB239" s="368"/>
      <c r="AC239" s="368"/>
      <c r="AD239" s="368"/>
      <c r="AE239" s="368"/>
      <c r="AF239" s="369"/>
      <c r="AG239" s="369"/>
      <c r="AH239" s="368"/>
      <c r="AI239" s="368"/>
    </row>
    <row r="240" spans="1:35" x14ac:dyDescent="0.2">
      <c r="A240" s="368"/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  <c r="O240" s="368"/>
      <c r="P240" s="368"/>
      <c r="Q240" s="368"/>
      <c r="R240" s="368"/>
      <c r="S240" s="368"/>
      <c r="T240" s="368"/>
      <c r="U240" s="368"/>
      <c r="V240" s="368"/>
      <c r="W240" s="368"/>
      <c r="X240" s="368"/>
      <c r="Y240" s="368"/>
      <c r="Z240" s="368"/>
      <c r="AA240" s="368"/>
      <c r="AB240" s="368"/>
      <c r="AC240" s="368"/>
      <c r="AD240" s="368"/>
      <c r="AE240" s="368"/>
      <c r="AF240" s="369"/>
      <c r="AG240" s="369"/>
      <c r="AH240" s="368"/>
      <c r="AI240" s="368"/>
    </row>
    <row r="241" spans="1:35" x14ac:dyDescent="0.2">
      <c r="A241" s="368"/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368"/>
      <c r="T241" s="368"/>
      <c r="U241" s="368"/>
      <c r="V241" s="368"/>
      <c r="W241" s="368"/>
      <c r="X241" s="368"/>
      <c r="Y241" s="368"/>
      <c r="Z241" s="368"/>
      <c r="AA241" s="368"/>
      <c r="AB241" s="368"/>
      <c r="AC241" s="368"/>
      <c r="AD241" s="368"/>
      <c r="AE241" s="368"/>
      <c r="AF241" s="369"/>
      <c r="AG241" s="369"/>
      <c r="AH241" s="368"/>
      <c r="AI241" s="368"/>
    </row>
    <row r="242" spans="1:35" x14ac:dyDescent="0.2">
      <c r="A242" s="368"/>
      <c r="B242" s="368"/>
      <c r="C242" s="368"/>
      <c r="D242" s="368"/>
      <c r="E242" s="368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8"/>
      <c r="Y242" s="368"/>
      <c r="Z242" s="368"/>
      <c r="AA242" s="368"/>
      <c r="AB242" s="368"/>
      <c r="AC242" s="368"/>
      <c r="AD242" s="368"/>
      <c r="AE242" s="368"/>
      <c r="AF242" s="369"/>
      <c r="AG242" s="369"/>
      <c r="AH242" s="368"/>
      <c r="AI242" s="368"/>
    </row>
    <row r="243" spans="1:35" x14ac:dyDescent="0.2">
      <c r="A243" s="368"/>
      <c r="B243" s="368"/>
      <c r="C243" s="368"/>
      <c r="D243" s="368"/>
      <c r="E243" s="368"/>
      <c r="F243" s="368"/>
      <c r="G243" s="368"/>
      <c r="H243" s="368"/>
      <c r="I243" s="368"/>
      <c r="J243" s="368"/>
      <c r="K243" s="368"/>
      <c r="L243" s="368"/>
      <c r="M243" s="368"/>
      <c r="N243" s="368"/>
      <c r="O243" s="368"/>
      <c r="P243" s="368"/>
      <c r="Q243" s="368"/>
      <c r="R243" s="368"/>
      <c r="S243" s="368"/>
      <c r="T243" s="368"/>
      <c r="U243" s="368"/>
      <c r="V243" s="368"/>
      <c r="W243" s="368"/>
      <c r="X243" s="368"/>
      <c r="Y243" s="368"/>
      <c r="Z243" s="368"/>
      <c r="AA243" s="368"/>
      <c r="AB243" s="368"/>
      <c r="AC243" s="368"/>
      <c r="AD243" s="368"/>
      <c r="AE243" s="368"/>
      <c r="AF243" s="369"/>
      <c r="AG243" s="369"/>
      <c r="AH243" s="368"/>
      <c r="AI243" s="368"/>
    </row>
    <row r="244" spans="1:35" x14ac:dyDescent="0.2">
      <c r="A244" s="368"/>
      <c r="B244" s="368"/>
      <c r="C244" s="368"/>
      <c r="D244" s="368"/>
      <c r="E244" s="368"/>
      <c r="F244" s="368"/>
      <c r="G244" s="368"/>
      <c r="H244" s="368"/>
      <c r="I244" s="368"/>
      <c r="J244" s="368"/>
      <c r="K244" s="368"/>
      <c r="L244" s="368"/>
      <c r="M244" s="368"/>
      <c r="N244" s="368"/>
      <c r="O244" s="368"/>
      <c r="P244" s="368"/>
      <c r="Q244" s="368"/>
      <c r="R244" s="368"/>
      <c r="S244" s="368"/>
      <c r="T244" s="368"/>
      <c r="U244" s="368"/>
      <c r="V244" s="368"/>
      <c r="W244" s="368"/>
      <c r="X244" s="368"/>
      <c r="Y244" s="368"/>
      <c r="Z244" s="368"/>
      <c r="AA244" s="368"/>
      <c r="AB244" s="368"/>
      <c r="AC244" s="368"/>
      <c r="AD244" s="368"/>
      <c r="AE244" s="368"/>
      <c r="AF244" s="369"/>
      <c r="AG244" s="369"/>
      <c r="AH244" s="368"/>
      <c r="AI244" s="368"/>
    </row>
    <row r="245" spans="1:35" x14ac:dyDescent="0.2">
      <c r="A245" s="368"/>
      <c r="B245" s="368"/>
      <c r="C245" s="368"/>
      <c r="D245" s="368"/>
      <c r="E245" s="368"/>
      <c r="F245" s="368"/>
      <c r="G245" s="368"/>
      <c r="H245" s="368"/>
      <c r="I245" s="368"/>
      <c r="J245" s="368"/>
      <c r="K245" s="368"/>
      <c r="L245" s="368"/>
      <c r="M245" s="368"/>
      <c r="N245" s="368"/>
      <c r="O245" s="368"/>
      <c r="P245" s="368"/>
      <c r="Q245" s="368"/>
      <c r="R245" s="368"/>
      <c r="S245" s="368"/>
      <c r="T245" s="368"/>
      <c r="U245" s="368"/>
      <c r="V245" s="368"/>
      <c r="W245" s="368"/>
      <c r="X245" s="368"/>
      <c r="Y245" s="368"/>
      <c r="Z245" s="368"/>
      <c r="AA245" s="368"/>
      <c r="AB245" s="368"/>
      <c r="AC245" s="368"/>
      <c r="AD245" s="368"/>
      <c r="AE245" s="368"/>
      <c r="AF245" s="369"/>
      <c r="AG245" s="369"/>
      <c r="AH245" s="368"/>
      <c r="AI245" s="368"/>
    </row>
    <row r="246" spans="1:35" x14ac:dyDescent="0.2">
      <c r="A246" s="368"/>
      <c r="B246" s="368"/>
      <c r="C246" s="368"/>
      <c r="D246" s="368"/>
      <c r="E246" s="368"/>
      <c r="F246" s="368"/>
      <c r="G246" s="368"/>
      <c r="H246" s="368"/>
      <c r="I246" s="368"/>
      <c r="J246" s="368"/>
      <c r="K246" s="368"/>
      <c r="L246" s="368"/>
      <c r="M246" s="368"/>
      <c r="N246" s="368"/>
      <c r="O246" s="368"/>
      <c r="P246" s="368"/>
      <c r="Q246" s="368"/>
      <c r="R246" s="368"/>
      <c r="S246" s="368"/>
      <c r="T246" s="368"/>
      <c r="U246" s="368"/>
      <c r="V246" s="368"/>
      <c r="W246" s="368"/>
      <c r="X246" s="368"/>
      <c r="Y246" s="368"/>
      <c r="Z246" s="368"/>
      <c r="AA246" s="368"/>
      <c r="AB246" s="368"/>
      <c r="AC246" s="368"/>
      <c r="AD246" s="368"/>
      <c r="AE246" s="368"/>
      <c r="AF246" s="369"/>
      <c r="AG246" s="369"/>
      <c r="AH246" s="368"/>
      <c r="AI246" s="368"/>
    </row>
    <row r="247" spans="1:35" x14ac:dyDescent="0.2">
      <c r="A247" s="368"/>
      <c r="B247" s="368"/>
      <c r="C247" s="368"/>
      <c r="D247" s="368"/>
      <c r="E247" s="368"/>
      <c r="F247" s="368"/>
      <c r="G247" s="368"/>
      <c r="H247" s="368"/>
      <c r="I247" s="368"/>
      <c r="J247" s="368"/>
      <c r="K247" s="368"/>
      <c r="L247" s="368"/>
      <c r="M247" s="368"/>
      <c r="N247" s="368"/>
      <c r="O247" s="368"/>
      <c r="P247" s="368"/>
      <c r="Q247" s="368"/>
      <c r="R247" s="368"/>
      <c r="S247" s="368"/>
      <c r="T247" s="368"/>
      <c r="U247" s="368"/>
      <c r="V247" s="368"/>
      <c r="W247" s="368"/>
      <c r="X247" s="368"/>
      <c r="Y247" s="368"/>
      <c r="Z247" s="368"/>
      <c r="AA247" s="368"/>
      <c r="AB247" s="368"/>
      <c r="AC247" s="368"/>
      <c r="AD247" s="368"/>
      <c r="AE247" s="368"/>
      <c r="AF247" s="369"/>
      <c r="AG247" s="369"/>
      <c r="AH247" s="368"/>
      <c r="AI247" s="368"/>
    </row>
    <row r="248" spans="1:35" x14ac:dyDescent="0.2">
      <c r="A248" s="368"/>
      <c r="B248" s="368"/>
      <c r="C248" s="368"/>
      <c r="D248" s="368"/>
      <c r="E248" s="368"/>
      <c r="F248" s="368"/>
      <c r="G248" s="368"/>
      <c r="H248" s="368"/>
      <c r="I248" s="368"/>
      <c r="J248" s="368"/>
      <c r="K248" s="368"/>
      <c r="L248" s="368"/>
      <c r="M248" s="368"/>
      <c r="N248" s="368"/>
      <c r="O248" s="368"/>
      <c r="P248" s="368"/>
      <c r="Q248" s="368"/>
      <c r="R248" s="368"/>
      <c r="S248" s="368"/>
      <c r="T248" s="368"/>
      <c r="U248" s="368"/>
      <c r="V248" s="368"/>
      <c r="W248" s="368"/>
      <c r="X248" s="368"/>
      <c r="Y248" s="368"/>
      <c r="Z248" s="368"/>
      <c r="AA248" s="368"/>
      <c r="AB248" s="368"/>
      <c r="AC248" s="368"/>
      <c r="AD248" s="368"/>
      <c r="AE248" s="368"/>
      <c r="AF248" s="369"/>
      <c r="AG248" s="369"/>
      <c r="AH248" s="368"/>
      <c r="AI248" s="368"/>
    </row>
    <row r="249" spans="1:35" x14ac:dyDescent="0.2">
      <c r="A249" s="368"/>
      <c r="B249" s="368"/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  <c r="M249" s="368"/>
      <c r="N249" s="368"/>
      <c r="O249" s="368"/>
      <c r="P249" s="368"/>
      <c r="Q249" s="368"/>
      <c r="R249" s="368"/>
      <c r="S249" s="368"/>
      <c r="T249" s="368"/>
      <c r="U249" s="368"/>
      <c r="V249" s="368"/>
      <c r="W249" s="368"/>
      <c r="X249" s="368"/>
      <c r="Y249" s="368"/>
      <c r="Z249" s="368"/>
      <c r="AA249" s="368"/>
      <c r="AB249" s="368"/>
      <c r="AC249" s="368"/>
      <c r="AD249" s="368"/>
      <c r="AE249" s="368"/>
      <c r="AF249" s="369"/>
      <c r="AG249" s="369"/>
      <c r="AH249" s="368"/>
      <c r="AI249" s="368"/>
    </row>
    <row r="250" spans="1:35" x14ac:dyDescent="0.2">
      <c r="A250" s="368"/>
      <c r="B250" s="368"/>
      <c r="C250" s="368"/>
      <c r="D250" s="368"/>
      <c r="E250" s="368"/>
      <c r="F250" s="368"/>
      <c r="G250" s="368"/>
      <c r="H250" s="368"/>
      <c r="I250" s="368"/>
      <c r="J250" s="368"/>
      <c r="K250" s="368"/>
      <c r="L250" s="368"/>
      <c r="M250" s="368"/>
      <c r="N250" s="368"/>
      <c r="O250" s="368"/>
      <c r="P250" s="368"/>
      <c r="Q250" s="368"/>
      <c r="R250" s="368"/>
      <c r="S250" s="368"/>
      <c r="T250" s="368"/>
      <c r="U250" s="368"/>
      <c r="V250" s="368"/>
      <c r="W250" s="368"/>
      <c r="X250" s="368"/>
      <c r="Y250" s="368"/>
      <c r="Z250" s="368"/>
      <c r="AA250" s="368"/>
      <c r="AB250" s="368"/>
      <c r="AC250" s="368"/>
      <c r="AD250" s="368"/>
      <c r="AE250" s="368"/>
      <c r="AF250" s="369"/>
      <c r="AG250" s="369"/>
      <c r="AH250" s="368"/>
      <c r="AI250" s="368"/>
    </row>
    <row r="251" spans="1:35" x14ac:dyDescent="0.2">
      <c r="A251" s="368"/>
      <c r="B251" s="368"/>
      <c r="C251" s="368"/>
      <c r="D251" s="368"/>
      <c r="E251" s="368"/>
      <c r="F251" s="368"/>
      <c r="G251" s="368"/>
      <c r="H251" s="368"/>
      <c r="I251" s="368"/>
      <c r="J251" s="368"/>
      <c r="K251" s="368"/>
      <c r="L251" s="368"/>
      <c r="M251" s="368"/>
      <c r="N251" s="368"/>
      <c r="O251" s="368"/>
      <c r="P251" s="368"/>
      <c r="Q251" s="368"/>
      <c r="R251" s="368"/>
      <c r="S251" s="368"/>
      <c r="T251" s="368"/>
      <c r="U251" s="368"/>
      <c r="V251" s="368"/>
      <c r="W251" s="368"/>
      <c r="X251" s="368"/>
      <c r="Y251" s="368"/>
      <c r="Z251" s="368"/>
      <c r="AA251" s="368"/>
      <c r="AB251" s="368"/>
      <c r="AC251" s="368"/>
      <c r="AD251" s="368"/>
      <c r="AE251" s="368"/>
      <c r="AF251" s="369"/>
      <c r="AG251" s="369"/>
      <c r="AH251" s="368"/>
      <c r="AI251" s="368"/>
    </row>
    <row r="252" spans="1:35" x14ac:dyDescent="0.2">
      <c r="A252" s="368"/>
      <c r="B252" s="368"/>
      <c r="C252" s="368"/>
      <c r="D252" s="368"/>
      <c r="E252" s="368"/>
      <c r="F252" s="368"/>
      <c r="G252" s="368"/>
      <c r="H252" s="368"/>
      <c r="I252" s="368"/>
      <c r="J252" s="368"/>
      <c r="K252" s="368"/>
      <c r="L252" s="368"/>
      <c r="M252" s="368"/>
      <c r="N252" s="368"/>
      <c r="O252" s="368"/>
      <c r="P252" s="368"/>
      <c r="Q252" s="368"/>
      <c r="R252" s="368"/>
      <c r="S252" s="368"/>
      <c r="T252" s="368"/>
      <c r="U252" s="368"/>
      <c r="V252" s="368"/>
      <c r="W252" s="368"/>
      <c r="X252" s="368"/>
      <c r="Y252" s="368"/>
      <c r="Z252" s="368"/>
      <c r="AA252" s="368"/>
      <c r="AB252" s="368"/>
      <c r="AC252" s="368"/>
      <c r="AD252" s="368"/>
      <c r="AE252" s="368"/>
      <c r="AF252" s="369"/>
      <c r="AG252" s="369"/>
      <c r="AH252" s="368"/>
      <c r="AI252" s="368"/>
    </row>
    <row r="253" spans="1:35" x14ac:dyDescent="0.2">
      <c r="A253" s="368"/>
      <c r="B253" s="368"/>
      <c r="C253" s="368"/>
      <c r="D253" s="368"/>
      <c r="E253" s="368"/>
      <c r="F253" s="368"/>
      <c r="G253" s="368"/>
      <c r="H253" s="368"/>
      <c r="I253" s="368"/>
      <c r="J253" s="368"/>
      <c r="K253" s="368"/>
      <c r="L253" s="368"/>
      <c r="M253" s="368"/>
      <c r="N253" s="368"/>
      <c r="O253" s="368"/>
      <c r="P253" s="368"/>
      <c r="Q253" s="368"/>
      <c r="R253" s="368"/>
      <c r="S253" s="368"/>
      <c r="T253" s="368"/>
      <c r="U253" s="368"/>
      <c r="V253" s="368"/>
      <c r="W253" s="368"/>
      <c r="X253" s="368"/>
      <c r="Y253" s="368"/>
      <c r="Z253" s="368"/>
      <c r="AA253" s="368"/>
      <c r="AB253" s="368"/>
      <c r="AC253" s="368"/>
      <c r="AD253" s="368"/>
      <c r="AE253" s="368"/>
      <c r="AF253" s="369"/>
      <c r="AG253" s="369"/>
      <c r="AH253" s="368"/>
      <c r="AI253" s="368"/>
    </row>
    <row r="254" spans="1:35" x14ac:dyDescent="0.2">
      <c r="A254" s="368"/>
      <c r="B254" s="368"/>
      <c r="C254" s="368"/>
      <c r="D254" s="368"/>
      <c r="E254" s="368"/>
      <c r="F254" s="368"/>
      <c r="G254" s="368"/>
      <c r="H254" s="368"/>
      <c r="I254" s="368"/>
      <c r="J254" s="368"/>
      <c r="K254" s="368"/>
      <c r="L254" s="368"/>
      <c r="M254" s="368"/>
      <c r="N254" s="368"/>
      <c r="O254" s="368"/>
      <c r="P254" s="368"/>
      <c r="Q254" s="368"/>
      <c r="R254" s="368"/>
      <c r="S254" s="368"/>
      <c r="T254" s="368"/>
      <c r="U254" s="368"/>
      <c r="V254" s="368"/>
      <c r="W254" s="368"/>
      <c r="X254" s="368"/>
      <c r="Y254" s="368"/>
      <c r="Z254" s="368"/>
      <c r="AA254" s="368"/>
      <c r="AB254" s="368"/>
      <c r="AC254" s="368"/>
      <c r="AD254" s="368"/>
      <c r="AE254" s="368"/>
      <c r="AF254" s="369"/>
      <c r="AG254" s="369"/>
      <c r="AH254" s="368"/>
      <c r="AI254" s="368"/>
    </row>
    <row r="255" spans="1:35" x14ac:dyDescent="0.2">
      <c r="A255" s="368"/>
      <c r="B255" s="368"/>
      <c r="C255" s="368"/>
      <c r="D255" s="368"/>
      <c r="E255" s="368"/>
      <c r="F255" s="368"/>
      <c r="G255" s="368"/>
      <c r="H255" s="368"/>
      <c r="I255" s="368"/>
      <c r="J255" s="368"/>
      <c r="K255" s="368"/>
      <c r="L255" s="368"/>
      <c r="M255" s="368"/>
      <c r="N255" s="368"/>
      <c r="O255" s="368"/>
      <c r="P255" s="368"/>
      <c r="Q255" s="368"/>
      <c r="R255" s="368"/>
      <c r="S255" s="368"/>
      <c r="T255" s="368"/>
      <c r="U255" s="368"/>
      <c r="V255" s="368"/>
      <c r="W255" s="368"/>
      <c r="X255" s="368"/>
      <c r="Y255" s="368"/>
      <c r="Z255" s="368"/>
      <c r="AA255" s="368"/>
      <c r="AB255" s="368"/>
      <c r="AC255" s="368"/>
      <c r="AD255" s="368"/>
      <c r="AE255" s="368"/>
      <c r="AF255" s="369"/>
      <c r="AG255" s="369"/>
      <c r="AH255" s="368"/>
      <c r="AI255" s="368"/>
    </row>
    <row r="256" spans="1:35" x14ac:dyDescent="0.2">
      <c r="A256" s="368"/>
      <c r="B256" s="368"/>
      <c r="C256" s="368"/>
      <c r="D256" s="368"/>
      <c r="E256" s="368"/>
      <c r="F256" s="368"/>
      <c r="G256" s="368"/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9"/>
      <c r="AG256" s="369"/>
      <c r="AH256" s="368"/>
      <c r="AI256" s="368"/>
    </row>
    <row r="257" spans="1:35" x14ac:dyDescent="0.2">
      <c r="A257" s="368"/>
      <c r="B257" s="368"/>
      <c r="C257" s="368"/>
      <c r="D257" s="368"/>
      <c r="E257" s="368"/>
      <c r="F257" s="368"/>
      <c r="G257" s="368"/>
      <c r="H257" s="368"/>
      <c r="I257" s="368"/>
      <c r="J257" s="368"/>
      <c r="K257" s="368"/>
      <c r="L257" s="368"/>
      <c r="M257" s="368"/>
      <c r="N257" s="368"/>
      <c r="O257" s="368"/>
      <c r="P257" s="368"/>
      <c r="Q257" s="368"/>
      <c r="R257" s="368"/>
      <c r="S257" s="368"/>
      <c r="T257" s="368"/>
      <c r="U257" s="368"/>
      <c r="V257" s="368"/>
      <c r="W257" s="368"/>
      <c r="X257" s="368"/>
      <c r="Y257" s="368"/>
      <c r="Z257" s="368"/>
      <c r="AA257" s="368"/>
      <c r="AB257" s="368"/>
      <c r="AC257" s="368"/>
      <c r="AD257" s="368"/>
      <c r="AE257" s="368"/>
      <c r="AF257" s="369"/>
      <c r="AG257" s="369"/>
      <c r="AH257" s="368"/>
      <c r="AI257" s="368"/>
    </row>
    <row r="258" spans="1:35" x14ac:dyDescent="0.2">
      <c r="A258" s="368"/>
      <c r="B258" s="368"/>
      <c r="C258" s="368"/>
      <c r="D258" s="368"/>
      <c r="E258" s="368"/>
      <c r="F258" s="368"/>
      <c r="G258" s="368"/>
      <c r="H258" s="368"/>
      <c r="I258" s="368"/>
      <c r="J258" s="368"/>
      <c r="K258" s="368"/>
      <c r="L258" s="368"/>
      <c r="M258" s="368"/>
      <c r="N258" s="368"/>
      <c r="O258" s="368"/>
      <c r="P258" s="368"/>
      <c r="Q258" s="368"/>
      <c r="R258" s="368"/>
      <c r="S258" s="368"/>
      <c r="T258" s="368"/>
      <c r="U258" s="368"/>
      <c r="V258" s="368"/>
      <c r="W258" s="368"/>
      <c r="X258" s="368"/>
      <c r="Y258" s="368"/>
      <c r="Z258" s="368"/>
      <c r="AA258" s="368"/>
      <c r="AB258" s="368"/>
      <c r="AC258" s="368"/>
      <c r="AD258" s="368"/>
      <c r="AE258" s="368"/>
      <c r="AF258" s="369"/>
      <c r="AG258" s="369"/>
      <c r="AH258" s="368"/>
      <c r="AI258" s="368"/>
    </row>
    <row r="259" spans="1:35" x14ac:dyDescent="0.2">
      <c r="A259" s="368"/>
      <c r="B259" s="368"/>
      <c r="C259" s="368"/>
      <c r="D259" s="368"/>
      <c r="E259" s="368"/>
      <c r="F259" s="368"/>
      <c r="G259" s="368"/>
      <c r="H259" s="368"/>
      <c r="I259" s="368"/>
      <c r="J259" s="368"/>
      <c r="K259" s="368"/>
      <c r="L259" s="368"/>
      <c r="M259" s="368"/>
      <c r="N259" s="368"/>
      <c r="O259" s="368"/>
      <c r="P259" s="368"/>
      <c r="Q259" s="368"/>
      <c r="R259" s="368"/>
      <c r="S259" s="368"/>
      <c r="T259" s="368"/>
      <c r="U259" s="368"/>
      <c r="V259" s="368"/>
      <c r="W259" s="368"/>
      <c r="X259" s="368"/>
      <c r="Y259" s="368"/>
      <c r="Z259" s="368"/>
      <c r="AA259" s="368"/>
      <c r="AB259" s="368"/>
      <c r="AC259" s="368"/>
      <c r="AD259" s="368"/>
      <c r="AE259" s="368"/>
      <c r="AF259" s="369"/>
      <c r="AG259" s="369"/>
      <c r="AH259" s="368"/>
      <c r="AI259" s="368"/>
    </row>
    <row r="260" spans="1:35" x14ac:dyDescent="0.2">
      <c r="A260" s="368"/>
      <c r="B260" s="368"/>
      <c r="C260" s="368"/>
      <c r="D260" s="368"/>
      <c r="E260" s="368"/>
      <c r="F260" s="368"/>
      <c r="G260" s="368"/>
      <c r="H260" s="368"/>
      <c r="I260" s="368"/>
      <c r="J260" s="368"/>
      <c r="K260" s="368"/>
      <c r="L260" s="368"/>
      <c r="M260" s="368"/>
      <c r="N260" s="368"/>
      <c r="O260" s="368"/>
      <c r="P260" s="368"/>
      <c r="Q260" s="368"/>
      <c r="R260" s="368"/>
      <c r="S260" s="368"/>
      <c r="T260" s="368"/>
      <c r="U260" s="368"/>
      <c r="V260" s="368"/>
      <c r="W260" s="368"/>
      <c r="X260" s="368"/>
      <c r="Y260" s="368"/>
      <c r="Z260" s="368"/>
      <c r="AA260" s="368"/>
      <c r="AB260" s="368"/>
      <c r="AC260" s="368"/>
      <c r="AD260" s="368"/>
      <c r="AE260" s="368"/>
      <c r="AF260" s="369"/>
      <c r="AG260" s="369"/>
      <c r="AH260" s="368"/>
      <c r="AI260" s="368"/>
    </row>
    <row r="261" spans="1:35" x14ac:dyDescent="0.2">
      <c r="A261" s="368"/>
      <c r="B261" s="368"/>
      <c r="C261" s="368"/>
      <c r="D261" s="368"/>
      <c r="E261" s="368"/>
      <c r="F261" s="368"/>
      <c r="G261" s="368"/>
      <c r="H261" s="368"/>
      <c r="I261" s="368"/>
      <c r="J261" s="368"/>
      <c r="K261" s="368"/>
      <c r="L261" s="368"/>
      <c r="M261" s="368"/>
      <c r="N261" s="368"/>
      <c r="O261" s="368"/>
      <c r="P261" s="368"/>
      <c r="Q261" s="368"/>
      <c r="R261" s="368"/>
      <c r="S261" s="368"/>
      <c r="T261" s="368"/>
      <c r="U261" s="368"/>
      <c r="V261" s="368"/>
      <c r="W261" s="368"/>
      <c r="X261" s="368"/>
      <c r="Y261" s="368"/>
      <c r="Z261" s="368"/>
      <c r="AA261" s="368"/>
      <c r="AB261" s="368"/>
      <c r="AC261" s="368"/>
      <c r="AD261" s="368"/>
      <c r="AE261" s="368"/>
      <c r="AF261" s="369"/>
      <c r="AG261" s="369"/>
      <c r="AH261" s="368"/>
      <c r="AI261" s="368"/>
    </row>
    <row r="262" spans="1:35" x14ac:dyDescent="0.2">
      <c r="A262" s="368"/>
      <c r="B262" s="368"/>
      <c r="C262" s="368"/>
      <c r="D262" s="368"/>
      <c r="E262" s="368"/>
      <c r="F262" s="368"/>
      <c r="G262" s="368"/>
      <c r="H262" s="368"/>
      <c r="I262" s="36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9"/>
      <c r="AG262" s="369"/>
      <c r="AH262" s="368"/>
      <c r="AI262" s="368"/>
    </row>
    <row r="263" spans="1:35" x14ac:dyDescent="0.2">
      <c r="A263" s="368"/>
      <c r="B263" s="368"/>
      <c r="C263" s="368"/>
      <c r="D263" s="368"/>
      <c r="E263" s="368"/>
      <c r="F263" s="368"/>
      <c r="G263" s="368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9"/>
      <c r="AG263" s="369"/>
      <c r="AH263" s="368"/>
      <c r="AI263" s="368"/>
    </row>
    <row r="264" spans="1:35" x14ac:dyDescent="0.2">
      <c r="A264" s="368"/>
      <c r="B264" s="368"/>
      <c r="C264" s="368"/>
      <c r="D264" s="368"/>
      <c r="E264" s="368"/>
      <c r="F264" s="368"/>
      <c r="G264" s="368"/>
      <c r="H264" s="368"/>
      <c r="I264" s="368"/>
      <c r="J264" s="368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8"/>
      <c r="Y264" s="368"/>
      <c r="Z264" s="368"/>
      <c r="AA264" s="368"/>
      <c r="AB264" s="368"/>
      <c r="AC264" s="368"/>
      <c r="AD264" s="368"/>
      <c r="AE264" s="368"/>
      <c r="AF264" s="369"/>
      <c r="AG264" s="369"/>
      <c r="AH264" s="368"/>
      <c r="AI264" s="368"/>
    </row>
    <row r="265" spans="1:35" x14ac:dyDescent="0.2">
      <c r="A265" s="368"/>
      <c r="B265" s="368"/>
      <c r="C265" s="368"/>
      <c r="D265" s="368"/>
      <c r="E265" s="368"/>
      <c r="F265" s="368"/>
      <c r="G265" s="368"/>
      <c r="H265" s="368"/>
      <c r="I265" s="368"/>
      <c r="J265" s="368"/>
      <c r="K265" s="368"/>
      <c r="L265" s="368"/>
      <c r="M265" s="368"/>
      <c r="N265" s="368"/>
      <c r="O265" s="368"/>
      <c r="P265" s="368"/>
      <c r="Q265" s="368"/>
      <c r="R265" s="368"/>
      <c r="S265" s="368"/>
      <c r="T265" s="368"/>
      <c r="U265" s="368"/>
      <c r="V265" s="368"/>
      <c r="W265" s="368"/>
      <c r="X265" s="368"/>
      <c r="Y265" s="368"/>
      <c r="Z265" s="368"/>
      <c r="AA265" s="368"/>
      <c r="AB265" s="368"/>
      <c r="AC265" s="368"/>
      <c r="AD265" s="368"/>
      <c r="AE265" s="368"/>
      <c r="AF265" s="369"/>
      <c r="AG265" s="369"/>
      <c r="AH265" s="368"/>
      <c r="AI265" s="368"/>
    </row>
    <row r="266" spans="1:35" x14ac:dyDescent="0.2">
      <c r="A266" s="368"/>
      <c r="B266" s="368"/>
      <c r="C266" s="368"/>
      <c r="D266" s="368"/>
      <c r="E266" s="368"/>
      <c r="F266" s="368"/>
      <c r="G266" s="368"/>
      <c r="H266" s="368"/>
      <c r="I266" s="368"/>
      <c r="J266" s="368"/>
      <c r="K266" s="368"/>
      <c r="L266" s="368"/>
      <c r="M266" s="368"/>
      <c r="N266" s="368"/>
      <c r="O266" s="368"/>
      <c r="P266" s="368"/>
      <c r="Q266" s="368"/>
      <c r="R266" s="368"/>
      <c r="S266" s="368"/>
      <c r="T266" s="368"/>
      <c r="U266" s="368"/>
      <c r="V266" s="368"/>
      <c r="W266" s="368"/>
      <c r="X266" s="368"/>
      <c r="Y266" s="368"/>
      <c r="Z266" s="368"/>
      <c r="AA266" s="368"/>
      <c r="AB266" s="368"/>
      <c r="AC266" s="368"/>
      <c r="AD266" s="368"/>
      <c r="AE266" s="368"/>
      <c r="AF266" s="369"/>
      <c r="AG266" s="369"/>
      <c r="AH266" s="368"/>
      <c r="AI266" s="368"/>
    </row>
    <row r="267" spans="1:35" x14ac:dyDescent="0.2">
      <c r="A267" s="368"/>
      <c r="B267" s="368"/>
      <c r="C267" s="368"/>
      <c r="D267" s="368"/>
      <c r="E267" s="368"/>
      <c r="F267" s="368"/>
      <c r="G267" s="368"/>
      <c r="H267" s="368"/>
      <c r="I267" s="368"/>
      <c r="J267" s="368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8"/>
      <c r="Y267" s="368"/>
      <c r="Z267" s="368"/>
      <c r="AA267" s="368"/>
      <c r="AB267" s="368"/>
      <c r="AC267" s="368"/>
      <c r="AD267" s="368"/>
      <c r="AE267" s="368"/>
      <c r="AF267" s="369"/>
      <c r="AG267" s="369"/>
      <c r="AH267" s="368"/>
      <c r="AI267" s="368"/>
    </row>
    <row r="268" spans="1:35" x14ac:dyDescent="0.2">
      <c r="A268" s="368"/>
      <c r="B268" s="368"/>
      <c r="C268" s="368"/>
      <c r="D268" s="368"/>
      <c r="E268" s="368"/>
      <c r="F268" s="368"/>
      <c r="G268" s="368"/>
      <c r="H268" s="368"/>
      <c r="I268" s="368"/>
      <c r="J268" s="368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  <c r="AD268" s="368"/>
      <c r="AE268" s="368"/>
      <c r="AF268" s="369"/>
      <c r="AG268" s="369"/>
      <c r="AH268" s="368"/>
      <c r="AI268" s="368"/>
    </row>
    <row r="269" spans="1:35" x14ac:dyDescent="0.2">
      <c r="A269" s="368"/>
      <c r="B269" s="368"/>
      <c r="C269" s="368"/>
      <c r="D269" s="368"/>
      <c r="E269" s="368"/>
      <c r="F269" s="368"/>
      <c r="G269" s="368"/>
      <c r="H269" s="368"/>
      <c r="I269" s="368"/>
      <c r="J269" s="368"/>
      <c r="K269" s="368"/>
      <c r="L269" s="368"/>
      <c r="M269" s="368"/>
      <c r="N269" s="368"/>
      <c r="O269" s="368"/>
      <c r="P269" s="368"/>
      <c r="Q269" s="368"/>
      <c r="R269" s="368"/>
      <c r="S269" s="368"/>
      <c r="T269" s="368"/>
      <c r="U269" s="368"/>
      <c r="V269" s="368"/>
      <c r="W269" s="368"/>
      <c r="X269" s="368"/>
      <c r="Y269" s="368"/>
      <c r="Z269" s="368"/>
      <c r="AA269" s="368"/>
      <c r="AB269" s="368"/>
      <c r="AC269" s="368"/>
      <c r="AD269" s="368"/>
      <c r="AE269" s="368"/>
      <c r="AF269" s="369"/>
      <c r="AG269" s="369"/>
      <c r="AH269" s="368"/>
      <c r="AI269" s="368"/>
    </row>
    <row r="270" spans="1:35" x14ac:dyDescent="0.2">
      <c r="A270" s="368"/>
      <c r="B270" s="368"/>
      <c r="C270" s="368"/>
      <c r="D270" s="368"/>
      <c r="E270" s="368"/>
      <c r="F270" s="368"/>
      <c r="G270" s="368"/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8"/>
      <c r="Y270" s="368"/>
      <c r="Z270" s="368"/>
      <c r="AA270" s="368"/>
      <c r="AB270" s="368"/>
      <c r="AC270" s="368"/>
      <c r="AD270" s="368"/>
      <c r="AE270" s="368"/>
      <c r="AF270" s="369"/>
      <c r="AG270" s="369"/>
      <c r="AH270" s="368"/>
      <c r="AI270" s="368"/>
    </row>
    <row r="271" spans="1:35" x14ac:dyDescent="0.2">
      <c r="A271" s="368"/>
      <c r="B271" s="368"/>
      <c r="C271" s="368"/>
      <c r="D271" s="368"/>
      <c r="E271" s="368"/>
      <c r="F271" s="368"/>
      <c r="G271" s="368"/>
      <c r="H271" s="368"/>
      <c r="I271" s="368"/>
      <c r="J271" s="368"/>
      <c r="K271" s="368"/>
      <c r="L271" s="368"/>
      <c r="M271" s="368"/>
      <c r="N271" s="368"/>
      <c r="O271" s="368"/>
      <c r="P271" s="368"/>
      <c r="Q271" s="368"/>
      <c r="R271" s="368"/>
      <c r="S271" s="368"/>
      <c r="T271" s="368"/>
      <c r="U271" s="368"/>
      <c r="V271" s="368"/>
      <c r="W271" s="368"/>
      <c r="X271" s="368"/>
      <c r="Y271" s="368"/>
      <c r="Z271" s="368"/>
      <c r="AA271" s="368"/>
      <c r="AB271" s="368"/>
      <c r="AC271" s="368"/>
      <c r="AD271" s="368"/>
      <c r="AE271" s="368"/>
      <c r="AF271" s="369"/>
      <c r="AG271" s="369"/>
      <c r="AH271" s="368"/>
      <c r="AI271" s="368"/>
    </row>
    <row r="272" spans="1:35" x14ac:dyDescent="0.2">
      <c r="A272" s="368"/>
      <c r="B272" s="368"/>
      <c r="C272" s="368"/>
      <c r="D272" s="368"/>
      <c r="E272" s="368"/>
      <c r="F272" s="368"/>
      <c r="G272" s="368"/>
      <c r="H272" s="368"/>
      <c r="I272" s="368"/>
      <c r="J272" s="368"/>
      <c r="K272" s="368"/>
      <c r="L272" s="368"/>
      <c r="M272" s="368"/>
      <c r="N272" s="368"/>
      <c r="O272" s="368"/>
      <c r="P272" s="368"/>
      <c r="Q272" s="368"/>
      <c r="R272" s="368"/>
      <c r="S272" s="368"/>
      <c r="T272" s="368"/>
      <c r="U272" s="368"/>
      <c r="V272" s="368"/>
      <c r="W272" s="368"/>
      <c r="X272" s="368"/>
      <c r="Y272" s="368"/>
      <c r="Z272" s="368"/>
      <c r="AA272" s="368"/>
      <c r="AB272" s="368"/>
      <c r="AC272" s="368"/>
      <c r="AD272" s="368"/>
      <c r="AE272" s="368"/>
      <c r="AF272" s="369"/>
      <c r="AG272" s="369"/>
      <c r="AH272" s="368"/>
      <c r="AI272" s="368"/>
    </row>
    <row r="273" spans="1:35" x14ac:dyDescent="0.2">
      <c r="A273" s="368"/>
      <c r="B273" s="368"/>
      <c r="C273" s="368"/>
      <c r="D273" s="368"/>
      <c r="E273" s="368"/>
      <c r="F273" s="368"/>
      <c r="G273" s="368"/>
      <c r="H273" s="368"/>
      <c r="I273" s="368"/>
      <c r="J273" s="368"/>
      <c r="K273" s="368"/>
      <c r="L273" s="368"/>
      <c r="M273" s="368"/>
      <c r="N273" s="368"/>
      <c r="O273" s="368"/>
      <c r="P273" s="368"/>
      <c r="Q273" s="368"/>
      <c r="R273" s="368"/>
      <c r="S273" s="368"/>
      <c r="T273" s="368"/>
      <c r="U273" s="368"/>
      <c r="V273" s="368"/>
      <c r="W273" s="368"/>
      <c r="X273" s="368"/>
      <c r="Y273" s="368"/>
      <c r="Z273" s="368"/>
      <c r="AA273" s="368"/>
      <c r="AB273" s="368"/>
      <c r="AC273" s="368"/>
      <c r="AD273" s="368"/>
      <c r="AE273" s="368"/>
      <c r="AF273" s="369"/>
      <c r="AG273" s="369"/>
      <c r="AH273" s="368"/>
      <c r="AI273" s="368"/>
    </row>
    <row r="274" spans="1:35" x14ac:dyDescent="0.2">
      <c r="A274" s="368"/>
      <c r="B274" s="368"/>
      <c r="C274" s="368"/>
      <c r="D274" s="368"/>
      <c r="E274" s="368"/>
      <c r="F274" s="368"/>
      <c r="G274" s="368"/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  <c r="Z274" s="368"/>
      <c r="AA274" s="368"/>
      <c r="AB274" s="368"/>
      <c r="AC274" s="368"/>
      <c r="AD274" s="368"/>
      <c r="AE274" s="368"/>
      <c r="AF274" s="369"/>
      <c r="AG274" s="369"/>
      <c r="AH274" s="368"/>
      <c r="AI274" s="368"/>
    </row>
    <row r="275" spans="1:35" x14ac:dyDescent="0.2">
      <c r="A275" s="368"/>
      <c r="B275" s="368"/>
      <c r="C275" s="368"/>
      <c r="D275" s="368"/>
      <c r="E275" s="368"/>
      <c r="F275" s="368"/>
      <c r="G275" s="368"/>
      <c r="H275" s="368"/>
      <c r="I275" s="368"/>
      <c r="J275" s="368"/>
      <c r="K275" s="368"/>
      <c r="L275" s="368"/>
      <c r="M275" s="368"/>
      <c r="N275" s="368"/>
      <c r="O275" s="368"/>
      <c r="P275" s="368"/>
      <c r="Q275" s="368"/>
      <c r="R275" s="368"/>
      <c r="S275" s="368"/>
      <c r="T275" s="368"/>
      <c r="U275" s="368"/>
      <c r="V275" s="368"/>
      <c r="W275" s="368"/>
      <c r="X275" s="368"/>
      <c r="Y275" s="368"/>
      <c r="Z275" s="368"/>
      <c r="AA275" s="368"/>
      <c r="AB275" s="368"/>
      <c r="AC275" s="368"/>
      <c r="AD275" s="368"/>
      <c r="AE275" s="368"/>
      <c r="AF275" s="369"/>
      <c r="AG275" s="369"/>
      <c r="AH275" s="368"/>
      <c r="AI275" s="368"/>
    </row>
    <row r="276" spans="1:35" x14ac:dyDescent="0.2">
      <c r="A276" s="368"/>
      <c r="B276" s="368"/>
      <c r="C276" s="368"/>
      <c r="D276" s="368"/>
      <c r="E276" s="368"/>
      <c r="F276" s="368"/>
      <c r="G276" s="368"/>
      <c r="H276" s="368"/>
      <c r="I276" s="368"/>
      <c r="J276" s="368"/>
      <c r="K276" s="368"/>
      <c r="L276" s="368"/>
      <c r="M276" s="368"/>
      <c r="N276" s="368"/>
      <c r="O276" s="368"/>
      <c r="P276" s="368"/>
      <c r="Q276" s="368"/>
      <c r="R276" s="368"/>
      <c r="S276" s="368"/>
      <c r="T276" s="368"/>
      <c r="U276" s="368"/>
      <c r="V276" s="368"/>
      <c r="W276" s="368"/>
      <c r="X276" s="368"/>
      <c r="Y276" s="368"/>
      <c r="Z276" s="368"/>
      <c r="AA276" s="368"/>
      <c r="AB276" s="368"/>
      <c r="AC276" s="368"/>
      <c r="AD276" s="368"/>
      <c r="AE276" s="368"/>
      <c r="AF276" s="369"/>
      <c r="AG276" s="369"/>
      <c r="AH276" s="368"/>
      <c r="AI276" s="368"/>
    </row>
    <row r="277" spans="1:35" x14ac:dyDescent="0.2">
      <c r="A277" s="368"/>
      <c r="B277" s="368"/>
      <c r="C277" s="368"/>
      <c r="D277" s="368"/>
      <c r="E277" s="368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8"/>
      <c r="R277" s="368"/>
      <c r="S277" s="368"/>
      <c r="T277" s="368"/>
      <c r="U277" s="368"/>
      <c r="V277" s="368"/>
      <c r="W277" s="368"/>
      <c r="X277" s="368"/>
      <c r="Y277" s="368"/>
      <c r="Z277" s="368"/>
      <c r="AA277" s="368"/>
      <c r="AB277" s="368"/>
      <c r="AC277" s="368"/>
      <c r="AD277" s="368"/>
      <c r="AE277" s="368"/>
      <c r="AF277" s="369"/>
      <c r="AG277" s="369"/>
      <c r="AH277" s="368"/>
      <c r="AI277" s="368"/>
    </row>
    <row r="278" spans="1:35" x14ac:dyDescent="0.2">
      <c r="A278" s="368"/>
      <c r="B278" s="368"/>
      <c r="C278" s="368"/>
      <c r="D278" s="368"/>
      <c r="E278" s="368"/>
      <c r="F278" s="368"/>
      <c r="G278" s="368"/>
      <c r="H278" s="368"/>
      <c r="I278" s="368"/>
      <c r="J278" s="368"/>
      <c r="K278" s="368"/>
      <c r="L278" s="368"/>
      <c r="M278" s="368"/>
      <c r="N278" s="368"/>
      <c r="O278" s="368"/>
      <c r="P278" s="368"/>
      <c r="Q278" s="368"/>
      <c r="R278" s="368"/>
      <c r="S278" s="368"/>
      <c r="T278" s="368"/>
      <c r="U278" s="368"/>
      <c r="V278" s="368"/>
      <c r="W278" s="368"/>
      <c r="X278" s="368"/>
      <c r="Y278" s="368"/>
      <c r="Z278" s="368"/>
      <c r="AA278" s="368"/>
      <c r="AB278" s="368"/>
      <c r="AC278" s="368"/>
      <c r="AD278" s="368"/>
      <c r="AE278" s="368"/>
      <c r="AF278" s="369"/>
      <c r="AG278" s="369"/>
      <c r="AH278" s="368"/>
      <c r="AI278" s="368"/>
    </row>
    <row r="279" spans="1:35" x14ac:dyDescent="0.2">
      <c r="A279" s="368"/>
      <c r="B279" s="368"/>
      <c r="C279" s="368"/>
      <c r="D279" s="368"/>
      <c r="E279" s="368"/>
      <c r="F279" s="368"/>
      <c r="G279" s="368"/>
      <c r="H279" s="368"/>
      <c r="I279" s="36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  <c r="Z279" s="368"/>
      <c r="AA279" s="368"/>
      <c r="AB279" s="368"/>
      <c r="AC279" s="368"/>
      <c r="AD279" s="368"/>
      <c r="AE279" s="368"/>
      <c r="AF279" s="369"/>
      <c r="AG279" s="369"/>
      <c r="AH279" s="368"/>
      <c r="AI279" s="368"/>
    </row>
    <row r="280" spans="1:35" x14ac:dyDescent="0.2">
      <c r="A280" s="368"/>
      <c r="B280" s="368"/>
      <c r="C280" s="368"/>
      <c r="D280" s="368"/>
      <c r="E280" s="368"/>
      <c r="F280" s="368"/>
      <c r="G280" s="368"/>
      <c r="H280" s="368"/>
      <c r="I280" s="368"/>
      <c r="J280" s="368"/>
      <c r="K280" s="368"/>
      <c r="L280" s="368"/>
      <c r="M280" s="368"/>
      <c r="N280" s="368"/>
      <c r="O280" s="368"/>
      <c r="P280" s="368"/>
      <c r="Q280" s="368"/>
      <c r="R280" s="368"/>
      <c r="S280" s="368"/>
      <c r="T280" s="368"/>
      <c r="U280" s="368"/>
      <c r="V280" s="368"/>
      <c r="W280" s="368"/>
      <c r="X280" s="368"/>
      <c r="Y280" s="368"/>
      <c r="Z280" s="368"/>
      <c r="AA280" s="368"/>
      <c r="AB280" s="368"/>
      <c r="AC280" s="368"/>
      <c r="AD280" s="368"/>
      <c r="AE280" s="368"/>
      <c r="AF280" s="369"/>
      <c r="AG280" s="369"/>
      <c r="AH280" s="368"/>
      <c r="AI280" s="368"/>
    </row>
    <row r="281" spans="1:35" x14ac:dyDescent="0.2">
      <c r="A281" s="368"/>
      <c r="B281" s="368"/>
      <c r="C281" s="368"/>
      <c r="D281" s="368"/>
      <c r="E281" s="368"/>
      <c r="F281" s="368"/>
      <c r="G281" s="368"/>
      <c r="H281" s="368"/>
      <c r="I281" s="368"/>
      <c r="J281" s="368"/>
      <c r="K281" s="368"/>
      <c r="L281" s="368"/>
      <c r="M281" s="368"/>
      <c r="N281" s="368"/>
      <c r="O281" s="368"/>
      <c r="P281" s="368"/>
      <c r="Q281" s="368"/>
      <c r="R281" s="368"/>
      <c r="S281" s="368"/>
      <c r="T281" s="368"/>
      <c r="U281" s="368"/>
      <c r="V281" s="368"/>
      <c r="W281" s="368"/>
      <c r="X281" s="368"/>
      <c r="Y281" s="368"/>
      <c r="Z281" s="368"/>
      <c r="AA281" s="368"/>
      <c r="AB281" s="368"/>
      <c r="AC281" s="368"/>
      <c r="AD281" s="368"/>
      <c r="AE281" s="368"/>
      <c r="AF281" s="369"/>
      <c r="AG281" s="369"/>
      <c r="AH281" s="368"/>
      <c r="AI281" s="368"/>
    </row>
    <row r="282" spans="1:35" x14ac:dyDescent="0.2">
      <c r="A282" s="368"/>
      <c r="B282" s="368"/>
      <c r="C282" s="368"/>
      <c r="D282" s="368"/>
      <c r="E282" s="368"/>
      <c r="F282" s="368"/>
      <c r="G282" s="368"/>
      <c r="H282" s="368"/>
      <c r="I282" s="368"/>
      <c r="J282" s="368"/>
      <c r="K282" s="368"/>
      <c r="L282" s="368"/>
      <c r="M282" s="368"/>
      <c r="N282" s="368"/>
      <c r="O282" s="368"/>
      <c r="P282" s="368"/>
      <c r="Q282" s="368"/>
      <c r="R282" s="368"/>
      <c r="S282" s="368"/>
      <c r="T282" s="368"/>
      <c r="U282" s="368"/>
      <c r="V282" s="368"/>
      <c r="W282" s="368"/>
      <c r="X282" s="368"/>
      <c r="Y282" s="368"/>
      <c r="Z282" s="368"/>
      <c r="AA282" s="368"/>
      <c r="AB282" s="368"/>
      <c r="AC282" s="368"/>
      <c r="AD282" s="368"/>
      <c r="AE282" s="368"/>
      <c r="AF282" s="369"/>
      <c r="AG282" s="369"/>
      <c r="AH282" s="368"/>
      <c r="AI282" s="368"/>
    </row>
    <row r="283" spans="1:35" x14ac:dyDescent="0.2">
      <c r="A283" s="368"/>
      <c r="B283" s="368"/>
      <c r="C283" s="368"/>
      <c r="D283" s="368"/>
      <c r="E283" s="368"/>
      <c r="F283" s="368"/>
      <c r="G283" s="368"/>
      <c r="H283" s="368"/>
      <c r="I283" s="368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8"/>
      <c r="AE283" s="368"/>
      <c r="AF283" s="369"/>
      <c r="AG283" s="369"/>
      <c r="AH283" s="368"/>
      <c r="AI283" s="368"/>
    </row>
    <row r="284" spans="1:35" x14ac:dyDescent="0.2">
      <c r="A284" s="368"/>
      <c r="B284" s="368"/>
      <c r="C284" s="368"/>
      <c r="D284" s="368"/>
      <c r="E284" s="368"/>
      <c r="F284" s="368"/>
      <c r="G284" s="368"/>
      <c r="H284" s="368"/>
      <c r="I284" s="368"/>
      <c r="J284" s="368"/>
      <c r="K284" s="368"/>
      <c r="L284" s="368"/>
      <c r="M284" s="368"/>
      <c r="N284" s="368"/>
      <c r="O284" s="368"/>
      <c r="P284" s="368"/>
      <c r="Q284" s="368"/>
      <c r="R284" s="368"/>
      <c r="S284" s="368"/>
      <c r="T284" s="368"/>
      <c r="U284" s="368"/>
      <c r="V284" s="368"/>
      <c r="W284" s="368"/>
      <c r="X284" s="368"/>
      <c r="Y284" s="368"/>
      <c r="Z284" s="368"/>
      <c r="AA284" s="368"/>
      <c r="AB284" s="368"/>
      <c r="AC284" s="368"/>
      <c r="AD284" s="368"/>
      <c r="AE284" s="368"/>
      <c r="AF284" s="369"/>
      <c r="AG284" s="369"/>
      <c r="AH284" s="368"/>
      <c r="AI284" s="368"/>
    </row>
    <row r="285" spans="1:35" x14ac:dyDescent="0.2">
      <c r="A285" s="368"/>
      <c r="B285" s="368"/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9"/>
      <c r="AG285" s="369"/>
      <c r="AH285" s="368"/>
      <c r="AI285" s="368"/>
    </row>
    <row r="286" spans="1:35" x14ac:dyDescent="0.2">
      <c r="A286" s="368"/>
      <c r="B286" s="368"/>
      <c r="C286" s="368"/>
      <c r="D286" s="368"/>
      <c r="E286" s="368"/>
      <c r="F286" s="368"/>
      <c r="G286" s="368"/>
      <c r="H286" s="368"/>
      <c r="I286" s="368"/>
      <c r="J286" s="368"/>
      <c r="K286" s="368"/>
      <c r="L286" s="368"/>
      <c r="M286" s="368"/>
      <c r="N286" s="368"/>
      <c r="O286" s="368"/>
      <c r="P286" s="368"/>
      <c r="Q286" s="368"/>
      <c r="R286" s="368"/>
      <c r="S286" s="368"/>
      <c r="T286" s="368"/>
      <c r="U286" s="368"/>
      <c r="V286" s="368"/>
      <c r="W286" s="368"/>
      <c r="X286" s="368"/>
      <c r="Y286" s="368"/>
      <c r="Z286" s="368"/>
      <c r="AA286" s="368"/>
      <c r="AB286" s="368"/>
      <c r="AC286" s="368"/>
      <c r="AD286" s="368"/>
      <c r="AE286" s="368"/>
      <c r="AF286" s="369"/>
      <c r="AG286" s="369"/>
      <c r="AH286" s="368"/>
      <c r="AI286" s="368"/>
    </row>
    <row r="287" spans="1:35" x14ac:dyDescent="0.2">
      <c r="A287" s="368"/>
      <c r="B287" s="368"/>
      <c r="C287" s="368"/>
      <c r="D287" s="368"/>
      <c r="E287" s="368"/>
      <c r="F287" s="368"/>
      <c r="G287" s="368"/>
      <c r="H287" s="368"/>
      <c r="I287" s="368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  <c r="Z287" s="368"/>
      <c r="AA287" s="368"/>
      <c r="AB287" s="368"/>
      <c r="AC287" s="368"/>
      <c r="AD287" s="368"/>
      <c r="AE287" s="368"/>
      <c r="AF287" s="369"/>
      <c r="AG287" s="369"/>
      <c r="AH287" s="368"/>
      <c r="AI287" s="368"/>
    </row>
    <row r="288" spans="1:35" x14ac:dyDescent="0.2">
      <c r="A288" s="368"/>
      <c r="B288" s="368"/>
      <c r="C288" s="368"/>
      <c r="D288" s="368"/>
      <c r="E288" s="368"/>
      <c r="F288" s="368"/>
      <c r="G288" s="368"/>
      <c r="H288" s="368"/>
      <c r="I288" s="368"/>
      <c r="J288" s="368"/>
      <c r="K288" s="368"/>
      <c r="L288" s="368"/>
      <c r="M288" s="368"/>
      <c r="N288" s="368"/>
      <c r="O288" s="368"/>
      <c r="P288" s="368"/>
      <c r="Q288" s="368"/>
      <c r="R288" s="368"/>
      <c r="S288" s="368"/>
      <c r="T288" s="368"/>
      <c r="U288" s="368"/>
      <c r="V288" s="368"/>
      <c r="W288" s="368"/>
      <c r="X288" s="368"/>
      <c r="Y288" s="368"/>
      <c r="Z288" s="368"/>
      <c r="AA288" s="368"/>
      <c r="AB288" s="368"/>
      <c r="AC288" s="368"/>
      <c r="AD288" s="368"/>
      <c r="AE288" s="368"/>
      <c r="AF288" s="369"/>
      <c r="AG288" s="369"/>
      <c r="AH288" s="368"/>
      <c r="AI288" s="368"/>
    </row>
    <row r="289" spans="1:35" x14ac:dyDescent="0.2">
      <c r="A289" s="368"/>
      <c r="B289" s="368"/>
      <c r="C289" s="368"/>
      <c r="D289" s="368"/>
      <c r="E289" s="368"/>
      <c r="F289" s="368"/>
      <c r="G289" s="368"/>
      <c r="H289" s="368"/>
      <c r="I289" s="368"/>
      <c r="J289" s="368"/>
      <c r="K289" s="368"/>
      <c r="L289" s="368"/>
      <c r="M289" s="368"/>
      <c r="N289" s="368"/>
      <c r="O289" s="368"/>
      <c r="P289" s="368"/>
      <c r="Q289" s="368"/>
      <c r="R289" s="368"/>
      <c r="S289" s="368"/>
      <c r="T289" s="368"/>
      <c r="U289" s="368"/>
      <c r="V289" s="368"/>
      <c r="W289" s="368"/>
      <c r="X289" s="368"/>
      <c r="Y289" s="368"/>
      <c r="Z289" s="368"/>
      <c r="AA289" s="368"/>
      <c r="AB289" s="368"/>
      <c r="AC289" s="368"/>
      <c r="AD289" s="368"/>
      <c r="AE289" s="368"/>
      <c r="AF289" s="369"/>
      <c r="AG289" s="369"/>
      <c r="AH289" s="368"/>
      <c r="AI289" s="368"/>
    </row>
    <row r="290" spans="1:35" x14ac:dyDescent="0.2">
      <c r="A290" s="368"/>
      <c r="B290" s="368"/>
      <c r="C290" s="368"/>
      <c r="D290" s="368"/>
      <c r="E290" s="368"/>
      <c r="F290" s="368"/>
      <c r="G290" s="368"/>
      <c r="H290" s="368"/>
      <c r="I290" s="368"/>
      <c r="J290" s="368"/>
      <c r="K290" s="368"/>
      <c r="L290" s="368"/>
      <c r="M290" s="368"/>
      <c r="N290" s="368"/>
      <c r="O290" s="368"/>
      <c r="P290" s="368"/>
      <c r="Q290" s="368"/>
      <c r="R290" s="368"/>
      <c r="S290" s="368"/>
      <c r="T290" s="368"/>
      <c r="U290" s="368"/>
      <c r="V290" s="368"/>
      <c r="W290" s="368"/>
      <c r="X290" s="368"/>
      <c r="Y290" s="368"/>
      <c r="Z290" s="368"/>
      <c r="AA290" s="368"/>
      <c r="AB290" s="368"/>
      <c r="AC290" s="368"/>
      <c r="AD290" s="368"/>
      <c r="AE290" s="368"/>
      <c r="AF290" s="369"/>
      <c r="AG290" s="369"/>
      <c r="AH290" s="368"/>
      <c r="AI290" s="368"/>
    </row>
    <row r="291" spans="1:35" x14ac:dyDescent="0.2">
      <c r="A291" s="368"/>
      <c r="B291" s="368"/>
      <c r="C291" s="368"/>
      <c r="D291" s="368"/>
      <c r="E291" s="368"/>
      <c r="F291" s="368"/>
      <c r="G291" s="368"/>
      <c r="H291" s="368"/>
      <c r="I291" s="368"/>
      <c r="J291" s="368"/>
      <c r="K291" s="368"/>
      <c r="L291" s="368"/>
      <c r="M291" s="368"/>
      <c r="N291" s="368"/>
      <c r="O291" s="368"/>
      <c r="P291" s="368"/>
      <c r="Q291" s="368"/>
      <c r="R291" s="368"/>
      <c r="S291" s="368"/>
      <c r="T291" s="368"/>
      <c r="U291" s="368"/>
      <c r="V291" s="368"/>
      <c r="W291" s="368"/>
      <c r="X291" s="368"/>
      <c r="Y291" s="368"/>
      <c r="Z291" s="368"/>
      <c r="AA291" s="368"/>
      <c r="AB291" s="368"/>
      <c r="AC291" s="368"/>
      <c r="AD291" s="368"/>
      <c r="AE291" s="368"/>
      <c r="AF291" s="369"/>
      <c r="AG291" s="369"/>
      <c r="AH291" s="368"/>
      <c r="AI291" s="368"/>
    </row>
    <row r="292" spans="1:35" x14ac:dyDescent="0.2">
      <c r="A292" s="368"/>
      <c r="B292" s="368"/>
      <c r="C292" s="368"/>
      <c r="D292" s="368"/>
      <c r="E292" s="368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9"/>
      <c r="AG292" s="369"/>
      <c r="AH292" s="368"/>
      <c r="AI292" s="368"/>
    </row>
    <row r="293" spans="1:35" x14ac:dyDescent="0.2">
      <c r="A293" s="368"/>
      <c r="B293" s="368"/>
      <c r="C293" s="368"/>
      <c r="D293" s="368"/>
      <c r="E293" s="368"/>
      <c r="F293" s="368"/>
      <c r="G293" s="368"/>
      <c r="H293" s="368"/>
      <c r="I293" s="368"/>
      <c r="J293" s="368"/>
      <c r="K293" s="368"/>
      <c r="L293" s="368"/>
      <c r="M293" s="368"/>
      <c r="N293" s="368"/>
      <c r="O293" s="368"/>
      <c r="P293" s="368"/>
      <c r="Q293" s="368"/>
      <c r="R293" s="368"/>
      <c r="S293" s="368"/>
      <c r="T293" s="368"/>
      <c r="U293" s="368"/>
      <c r="V293" s="368"/>
      <c r="W293" s="368"/>
      <c r="X293" s="368"/>
      <c r="Y293" s="368"/>
      <c r="Z293" s="368"/>
      <c r="AA293" s="368"/>
      <c r="AB293" s="368"/>
      <c r="AC293" s="368"/>
      <c r="AD293" s="368"/>
      <c r="AE293" s="368"/>
      <c r="AF293" s="369"/>
      <c r="AG293" s="369"/>
      <c r="AH293" s="368"/>
      <c r="AI293" s="368"/>
    </row>
    <row r="294" spans="1:35" x14ac:dyDescent="0.2">
      <c r="A294" s="368"/>
      <c r="B294" s="368"/>
      <c r="C294" s="368"/>
      <c r="D294" s="368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368"/>
      <c r="S294" s="368"/>
      <c r="T294" s="368"/>
      <c r="U294" s="368"/>
      <c r="V294" s="368"/>
      <c r="W294" s="368"/>
      <c r="X294" s="368"/>
      <c r="Y294" s="368"/>
      <c r="Z294" s="368"/>
      <c r="AA294" s="368"/>
      <c r="AB294" s="368"/>
      <c r="AC294" s="368"/>
      <c r="AD294" s="368"/>
      <c r="AE294" s="368"/>
      <c r="AF294" s="369"/>
      <c r="AG294" s="369"/>
      <c r="AH294" s="368"/>
      <c r="AI294" s="368"/>
    </row>
    <row r="295" spans="1:35" x14ac:dyDescent="0.2">
      <c r="A295" s="368"/>
      <c r="B295" s="368"/>
      <c r="C295" s="368"/>
      <c r="D295" s="368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368"/>
      <c r="S295" s="368"/>
      <c r="T295" s="368"/>
      <c r="U295" s="368"/>
      <c r="V295" s="368"/>
      <c r="W295" s="368"/>
      <c r="X295" s="368"/>
      <c r="Y295" s="368"/>
      <c r="Z295" s="368"/>
      <c r="AA295" s="368"/>
      <c r="AB295" s="368"/>
      <c r="AC295" s="368"/>
      <c r="AD295" s="368"/>
      <c r="AE295" s="368"/>
      <c r="AF295" s="369"/>
      <c r="AG295" s="369"/>
      <c r="AH295" s="368"/>
      <c r="AI295" s="368"/>
    </row>
    <row r="296" spans="1:35" x14ac:dyDescent="0.2">
      <c r="A296" s="368"/>
      <c r="B296" s="368"/>
      <c r="C296" s="368"/>
      <c r="D296" s="368"/>
      <c r="E296" s="368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  <c r="Z296" s="368"/>
      <c r="AA296" s="368"/>
      <c r="AB296" s="368"/>
      <c r="AC296" s="368"/>
      <c r="AD296" s="368"/>
      <c r="AE296" s="368"/>
      <c r="AF296" s="369"/>
      <c r="AG296" s="369"/>
      <c r="AH296" s="368"/>
      <c r="AI296" s="368"/>
    </row>
    <row r="297" spans="1:35" x14ac:dyDescent="0.2">
      <c r="A297" s="368"/>
      <c r="B297" s="368"/>
      <c r="C297" s="368"/>
      <c r="D297" s="368"/>
      <c r="E297" s="368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  <c r="Z297" s="368"/>
      <c r="AA297" s="368"/>
      <c r="AB297" s="368"/>
      <c r="AC297" s="368"/>
      <c r="AD297" s="368"/>
      <c r="AE297" s="368"/>
      <c r="AF297" s="369"/>
      <c r="AG297" s="369"/>
      <c r="AH297" s="368"/>
      <c r="AI297" s="368"/>
    </row>
    <row r="298" spans="1:35" x14ac:dyDescent="0.2">
      <c r="A298" s="368"/>
      <c r="B298" s="368"/>
      <c r="C298" s="368"/>
      <c r="D298" s="368"/>
      <c r="E298" s="368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368"/>
      <c r="S298" s="368"/>
      <c r="T298" s="368"/>
      <c r="U298" s="368"/>
      <c r="V298" s="368"/>
      <c r="W298" s="368"/>
      <c r="X298" s="368"/>
      <c r="Y298" s="368"/>
      <c r="Z298" s="368"/>
      <c r="AA298" s="368"/>
      <c r="AB298" s="368"/>
      <c r="AC298" s="368"/>
      <c r="AD298" s="368"/>
      <c r="AE298" s="368"/>
      <c r="AF298" s="369"/>
      <c r="AG298" s="369"/>
      <c r="AH298" s="368"/>
      <c r="AI298" s="368"/>
    </row>
    <row r="299" spans="1:35" x14ac:dyDescent="0.2">
      <c r="A299" s="368"/>
      <c r="B299" s="368"/>
      <c r="C299" s="368"/>
      <c r="D299" s="368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9"/>
      <c r="AG299" s="369"/>
      <c r="AH299" s="368"/>
      <c r="AI299" s="368"/>
    </row>
    <row r="300" spans="1:35" x14ac:dyDescent="0.2">
      <c r="A300" s="368"/>
      <c r="B300" s="368"/>
      <c r="C300" s="368"/>
      <c r="D300" s="368"/>
      <c r="E300" s="368"/>
      <c r="F300" s="368"/>
      <c r="G300" s="368"/>
      <c r="H300" s="368"/>
      <c r="I300" s="368"/>
      <c r="J300" s="368"/>
      <c r="K300" s="368"/>
      <c r="L300" s="368"/>
      <c r="M300" s="368"/>
      <c r="N300" s="368"/>
      <c r="O300" s="368"/>
      <c r="P300" s="368"/>
      <c r="Q300" s="368"/>
      <c r="R300" s="368"/>
      <c r="S300" s="368"/>
      <c r="T300" s="368"/>
      <c r="U300" s="368"/>
      <c r="V300" s="368"/>
      <c r="W300" s="368"/>
      <c r="X300" s="368"/>
      <c r="Y300" s="368"/>
      <c r="Z300" s="368"/>
      <c r="AA300" s="368"/>
      <c r="AB300" s="368"/>
      <c r="AC300" s="368"/>
      <c r="AD300" s="368"/>
      <c r="AE300" s="368"/>
      <c r="AF300" s="369"/>
      <c r="AG300" s="369"/>
      <c r="AH300" s="368"/>
      <c r="AI300" s="368"/>
    </row>
    <row r="301" spans="1:35" x14ac:dyDescent="0.2">
      <c r="A301" s="368"/>
      <c r="B301" s="368"/>
      <c r="C301" s="368"/>
      <c r="D301" s="368"/>
      <c r="E301" s="368"/>
      <c r="F301" s="368"/>
      <c r="G301" s="368"/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  <c r="Z301" s="368"/>
      <c r="AA301" s="368"/>
      <c r="AB301" s="368"/>
      <c r="AC301" s="368"/>
      <c r="AD301" s="368"/>
      <c r="AE301" s="368"/>
      <c r="AF301" s="369"/>
      <c r="AG301" s="369"/>
      <c r="AH301" s="368"/>
      <c r="AI301" s="368"/>
    </row>
    <row r="302" spans="1:35" x14ac:dyDescent="0.2">
      <c r="A302" s="368"/>
      <c r="B302" s="368"/>
      <c r="C302" s="368"/>
      <c r="D302" s="368"/>
      <c r="E302" s="368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8"/>
      <c r="R302" s="368"/>
      <c r="S302" s="368"/>
      <c r="T302" s="368"/>
      <c r="U302" s="368"/>
      <c r="V302" s="368"/>
      <c r="W302" s="368"/>
      <c r="X302" s="368"/>
      <c r="Y302" s="368"/>
      <c r="Z302" s="368"/>
      <c r="AA302" s="368"/>
      <c r="AB302" s="368"/>
      <c r="AC302" s="368"/>
      <c r="AD302" s="368"/>
      <c r="AE302" s="368"/>
      <c r="AF302" s="369"/>
      <c r="AG302" s="369"/>
      <c r="AH302" s="368"/>
      <c r="AI302" s="368"/>
    </row>
    <row r="303" spans="1:35" x14ac:dyDescent="0.2">
      <c r="A303" s="368"/>
      <c r="B303" s="368"/>
      <c r="C303" s="368"/>
      <c r="D303" s="368"/>
      <c r="E303" s="368"/>
      <c r="F303" s="368"/>
      <c r="G303" s="368"/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  <c r="Z303" s="368"/>
      <c r="AA303" s="368"/>
      <c r="AB303" s="368"/>
      <c r="AC303" s="368"/>
      <c r="AD303" s="368"/>
      <c r="AE303" s="368"/>
      <c r="AF303" s="369"/>
      <c r="AG303" s="369"/>
      <c r="AH303" s="368"/>
      <c r="AI303" s="368"/>
    </row>
    <row r="304" spans="1:35" x14ac:dyDescent="0.2">
      <c r="A304" s="368"/>
      <c r="B304" s="368"/>
      <c r="C304" s="368"/>
      <c r="D304" s="368"/>
      <c r="E304" s="368"/>
      <c r="F304" s="368"/>
      <c r="G304" s="368"/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  <c r="Z304" s="368"/>
      <c r="AA304" s="368"/>
      <c r="AB304" s="368"/>
      <c r="AC304" s="368"/>
      <c r="AD304" s="368"/>
      <c r="AE304" s="368"/>
      <c r="AF304" s="369"/>
      <c r="AG304" s="369"/>
      <c r="AH304" s="368"/>
      <c r="AI304" s="368"/>
    </row>
    <row r="305" spans="1:35" x14ac:dyDescent="0.2">
      <c r="A305" s="368"/>
      <c r="B305" s="368"/>
      <c r="C305" s="368"/>
      <c r="D305" s="368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  <c r="Z305" s="368"/>
      <c r="AA305" s="368"/>
      <c r="AB305" s="368"/>
      <c r="AC305" s="368"/>
      <c r="AD305" s="368"/>
      <c r="AE305" s="368"/>
      <c r="AF305" s="369"/>
      <c r="AG305" s="369"/>
      <c r="AH305" s="368"/>
      <c r="AI305" s="368"/>
    </row>
    <row r="306" spans="1:35" x14ac:dyDescent="0.2">
      <c r="A306" s="368"/>
      <c r="B306" s="368"/>
      <c r="C306" s="368"/>
      <c r="D306" s="368"/>
      <c r="E306" s="368"/>
      <c r="F306" s="368"/>
      <c r="G306" s="368"/>
      <c r="H306" s="368"/>
      <c r="I306" s="368"/>
      <c r="J306" s="368"/>
      <c r="K306" s="368"/>
      <c r="L306" s="368"/>
      <c r="M306" s="368"/>
      <c r="N306" s="368"/>
      <c r="O306" s="368"/>
      <c r="P306" s="368"/>
      <c r="Q306" s="368"/>
      <c r="R306" s="368"/>
      <c r="S306" s="368"/>
      <c r="T306" s="368"/>
      <c r="U306" s="368"/>
      <c r="V306" s="368"/>
      <c r="W306" s="368"/>
      <c r="X306" s="368"/>
      <c r="Y306" s="368"/>
      <c r="Z306" s="368"/>
      <c r="AA306" s="368"/>
      <c r="AB306" s="368"/>
      <c r="AC306" s="368"/>
      <c r="AD306" s="368"/>
      <c r="AE306" s="368"/>
      <c r="AF306" s="369"/>
      <c r="AG306" s="369"/>
      <c r="AH306" s="368"/>
      <c r="AI306" s="368"/>
    </row>
    <row r="307" spans="1:35" x14ac:dyDescent="0.2">
      <c r="A307" s="368"/>
      <c r="B307" s="368"/>
      <c r="C307" s="368"/>
      <c r="D307" s="368"/>
      <c r="E307" s="368"/>
      <c r="F307" s="368"/>
      <c r="G307" s="368"/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  <c r="Z307" s="368"/>
      <c r="AA307" s="368"/>
      <c r="AB307" s="368"/>
      <c r="AC307" s="368"/>
      <c r="AD307" s="368"/>
      <c r="AE307" s="368"/>
      <c r="AF307" s="369"/>
      <c r="AG307" s="369"/>
      <c r="AH307" s="368"/>
      <c r="AI307" s="368"/>
    </row>
    <row r="308" spans="1:35" x14ac:dyDescent="0.2">
      <c r="A308" s="368"/>
      <c r="B308" s="368"/>
      <c r="C308" s="368"/>
      <c r="D308" s="368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368"/>
      <c r="Q308" s="368"/>
      <c r="R308" s="368"/>
      <c r="S308" s="368"/>
      <c r="T308" s="368"/>
      <c r="U308" s="368"/>
      <c r="V308" s="368"/>
      <c r="W308" s="368"/>
      <c r="X308" s="368"/>
      <c r="Y308" s="368"/>
      <c r="Z308" s="368"/>
      <c r="AA308" s="368"/>
      <c r="AB308" s="368"/>
      <c r="AC308" s="368"/>
      <c r="AD308" s="368"/>
      <c r="AE308" s="368"/>
      <c r="AF308" s="369"/>
      <c r="AG308" s="369"/>
      <c r="AH308" s="368"/>
      <c r="AI308" s="368"/>
    </row>
    <row r="309" spans="1:35" x14ac:dyDescent="0.2">
      <c r="A309" s="368"/>
      <c r="B309" s="368"/>
      <c r="C309" s="368"/>
      <c r="D309" s="368"/>
      <c r="E309" s="368"/>
      <c r="F309" s="368"/>
      <c r="G309" s="368"/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  <c r="Z309" s="368"/>
      <c r="AA309" s="368"/>
      <c r="AB309" s="368"/>
      <c r="AC309" s="368"/>
      <c r="AD309" s="368"/>
      <c r="AE309" s="368"/>
      <c r="AF309" s="369"/>
      <c r="AG309" s="369"/>
      <c r="AH309" s="368"/>
      <c r="AI309" s="368"/>
    </row>
    <row r="310" spans="1:35" x14ac:dyDescent="0.2">
      <c r="A310" s="368"/>
      <c r="B310" s="368"/>
      <c r="C310" s="368"/>
      <c r="D310" s="368"/>
      <c r="E310" s="368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  <c r="Q310" s="368"/>
      <c r="R310" s="368"/>
      <c r="S310" s="368"/>
      <c r="T310" s="368"/>
      <c r="U310" s="368"/>
      <c r="V310" s="368"/>
      <c r="W310" s="368"/>
      <c r="X310" s="368"/>
      <c r="Y310" s="368"/>
      <c r="Z310" s="368"/>
      <c r="AA310" s="368"/>
      <c r="AB310" s="368"/>
      <c r="AC310" s="368"/>
      <c r="AD310" s="368"/>
      <c r="AE310" s="368"/>
      <c r="AF310" s="369"/>
      <c r="AG310" s="369"/>
      <c r="AH310" s="368"/>
      <c r="AI310" s="368"/>
    </row>
    <row r="311" spans="1:35" x14ac:dyDescent="0.2">
      <c r="A311" s="368"/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368"/>
      <c r="T311" s="368"/>
      <c r="U311" s="368"/>
      <c r="V311" s="368"/>
      <c r="W311" s="368"/>
      <c r="X311" s="368"/>
      <c r="Y311" s="368"/>
      <c r="Z311" s="368"/>
      <c r="AA311" s="368"/>
      <c r="AB311" s="368"/>
      <c r="AC311" s="368"/>
      <c r="AD311" s="368"/>
      <c r="AE311" s="368"/>
      <c r="AF311" s="369"/>
      <c r="AG311" s="369"/>
      <c r="AH311" s="368"/>
      <c r="AI311" s="368"/>
    </row>
    <row r="312" spans="1:35" x14ac:dyDescent="0.2">
      <c r="A312" s="368"/>
      <c r="B312" s="368"/>
      <c r="C312" s="368"/>
      <c r="D312" s="368"/>
      <c r="E312" s="368"/>
      <c r="F312" s="368"/>
      <c r="G312" s="368"/>
      <c r="H312" s="368"/>
      <c r="I312" s="368"/>
      <c r="J312" s="368"/>
      <c r="K312" s="368"/>
      <c r="L312" s="368"/>
      <c r="M312" s="368"/>
      <c r="N312" s="368"/>
      <c r="O312" s="368"/>
      <c r="P312" s="368"/>
      <c r="Q312" s="368"/>
      <c r="R312" s="368"/>
      <c r="S312" s="368"/>
      <c r="T312" s="368"/>
      <c r="U312" s="368"/>
      <c r="V312" s="368"/>
      <c r="W312" s="368"/>
      <c r="X312" s="368"/>
      <c r="Y312" s="368"/>
      <c r="Z312" s="368"/>
      <c r="AA312" s="368"/>
      <c r="AB312" s="368"/>
      <c r="AC312" s="368"/>
      <c r="AD312" s="368"/>
      <c r="AE312" s="368"/>
      <c r="AF312" s="369"/>
      <c r="AG312" s="369"/>
      <c r="AH312" s="368"/>
      <c r="AI312" s="368"/>
    </row>
    <row r="313" spans="1:35" x14ac:dyDescent="0.2">
      <c r="A313" s="368"/>
      <c r="B313" s="368"/>
      <c r="C313" s="368"/>
      <c r="D313" s="368"/>
      <c r="E313" s="368"/>
      <c r="F313" s="368"/>
      <c r="G313" s="368"/>
      <c r="H313" s="368"/>
      <c r="I313" s="368"/>
      <c r="J313" s="368"/>
      <c r="K313" s="368"/>
      <c r="L313" s="368"/>
      <c r="M313" s="368"/>
      <c r="N313" s="368"/>
      <c r="O313" s="368"/>
      <c r="P313" s="368"/>
      <c r="Q313" s="368"/>
      <c r="R313" s="368"/>
      <c r="S313" s="368"/>
      <c r="T313" s="368"/>
      <c r="U313" s="368"/>
      <c r="V313" s="368"/>
      <c r="W313" s="368"/>
      <c r="X313" s="368"/>
      <c r="Y313" s="368"/>
      <c r="Z313" s="368"/>
      <c r="AA313" s="368"/>
      <c r="AB313" s="368"/>
      <c r="AC313" s="368"/>
      <c r="AD313" s="368"/>
      <c r="AE313" s="368"/>
      <c r="AF313" s="369"/>
      <c r="AG313" s="369"/>
      <c r="AH313" s="368"/>
      <c r="AI313" s="368"/>
    </row>
    <row r="314" spans="1:35" x14ac:dyDescent="0.2">
      <c r="A314" s="368"/>
      <c r="B314" s="368"/>
      <c r="C314" s="368"/>
      <c r="D314" s="368"/>
      <c r="E314" s="368"/>
      <c r="F314" s="368"/>
      <c r="G314" s="368"/>
      <c r="H314" s="368"/>
      <c r="I314" s="368"/>
      <c r="J314" s="368"/>
      <c r="K314" s="368"/>
      <c r="L314" s="368"/>
      <c r="M314" s="368"/>
      <c r="N314" s="368"/>
      <c r="O314" s="368"/>
      <c r="P314" s="368"/>
      <c r="Q314" s="368"/>
      <c r="R314" s="368"/>
      <c r="S314" s="368"/>
      <c r="T314" s="368"/>
      <c r="U314" s="368"/>
      <c r="V314" s="368"/>
      <c r="W314" s="368"/>
      <c r="X314" s="368"/>
      <c r="Y314" s="368"/>
      <c r="Z314" s="368"/>
      <c r="AA314" s="368"/>
      <c r="AB314" s="368"/>
      <c r="AC314" s="368"/>
      <c r="AD314" s="368"/>
      <c r="AE314" s="368"/>
      <c r="AF314" s="369"/>
      <c r="AG314" s="369"/>
      <c r="AH314" s="368"/>
      <c r="AI314" s="368"/>
    </row>
    <row r="315" spans="1:35" x14ac:dyDescent="0.2">
      <c r="A315" s="368"/>
      <c r="B315" s="368"/>
      <c r="C315" s="368"/>
      <c r="D315" s="368"/>
      <c r="E315" s="368"/>
      <c r="F315" s="368"/>
      <c r="G315" s="368"/>
      <c r="H315" s="368"/>
      <c r="I315" s="368"/>
      <c r="J315" s="368"/>
      <c r="K315" s="368"/>
      <c r="L315" s="368"/>
      <c r="M315" s="368"/>
      <c r="N315" s="368"/>
      <c r="O315" s="368"/>
      <c r="P315" s="368"/>
      <c r="Q315" s="368"/>
      <c r="R315" s="368"/>
      <c r="S315" s="368"/>
      <c r="T315" s="368"/>
      <c r="U315" s="368"/>
      <c r="V315" s="368"/>
      <c r="W315" s="368"/>
      <c r="X315" s="368"/>
      <c r="Y315" s="368"/>
      <c r="Z315" s="368"/>
      <c r="AA315" s="368"/>
      <c r="AB315" s="368"/>
      <c r="AC315" s="368"/>
      <c r="AD315" s="368"/>
      <c r="AE315" s="368"/>
      <c r="AF315" s="369"/>
      <c r="AG315" s="369"/>
      <c r="AH315" s="368"/>
      <c r="AI315" s="368"/>
    </row>
    <row r="316" spans="1:35" x14ac:dyDescent="0.2">
      <c r="A316" s="368"/>
      <c r="B316" s="368"/>
      <c r="C316" s="368"/>
      <c r="D316" s="368"/>
      <c r="E316" s="368"/>
      <c r="F316" s="368"/>
      <c r="G316" s="368"/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8"/>
      <c r="AF316" s="369"/>
      <c r="AG316" s="369"/>
      <c r="AH316" s="368"/>
      <c r="AI316" s="368"/>
    </row>
    <row r="317" spans="1:35" x14ac:dyDescent="0.2">
      <c r="A317" s="368"/>
      <c r="B317" s="368"/>
      <c r="C317" s="368"/>
      <c r="D317" s="368"/>
      <c r="E317" s="368"/>
      <c r="F317" s="368"/>
      <c r="G317" s="368"/>
      <c r="H317" s="368"/>
      <c r="I317" s="368"/>
      <c r="J317" s="368"/>
      <c r="K317" s="368"/>
      <c r="L317" s="368"/>
      <c r="M317" s="368"/>
      <c r="N317" s="368"/>
      <c r="O317" s="368"/>
      <c r="P317" s="368"/>
      <c r="Q317" s="368"/>
      <c r="R317" s="368"/>
      <c r="S317" s="368"/>
      <c r="T317" s="368"/>
      <c r="U317" s="368"/>
      <c r="V317" s="368"/>
      <c r="W317" s="368"/>
      <c r="X317" s="368"/>
      <c r="Y317" s="368"/>
      <c r="Z317" s="368"/>
      <c r="AA317" s="368"/>
      <c r="AB317" s="368"/>
      <c r="AC317" s="368"/>
      <c r="AD317" s="368"/>
      <c r="AE317" s="368"/>
      <c r="AF317" s="369"/>
      <c r="AG317" s="369"/>
      <c r="AH317" s="368"/>
      <c r="AI317" s="368"/>
    </row>
    <row r="318" spans="1:35" x14ac:dyDescent="0.2">
      <c r="A318" s="368"/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/>
      <c r="AD318" s="368"/>
      <c r="AE318" s="368"/>
      <c r="AF318" s="369"/>
      <c r="AG318" s="369"/>
      <c r="AH318" s="368"/>
      <c r="AI318" s="368"/>
    </row>
    <row r="319" spans="1:35" x14ac:dyDescent="0.2">
      <c r="A319" s="368"/>
      <c r="B319" s="368"/>
      <c r="C319" s="368"/>
      <c r="D319" s="368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  <c r="Q319" s="368"/>
      <c r="R319" s="368"/>
      <c r="S319" s="368"/>
      <c r="T319" s="368"/>
      <c r="U319" s="368"/>
      <c r="V319" s="368"/>
      <c r="W319" s="368"/>
      <c r="X319" s="368"/>
      <c r="Y319" s="368"/>
      <c r="Z319" s="368"/>
      <c r="AA319" s="368"/>
      <c r="AB319" s="368"/>
      <c r="AC319" s="368"/>
      <c r="AD319" s="368"/>
      <c r="AE319" s="368"/>
      <c r="AF319" s="369"/>
      <c r="AG319" s="369"/>
      <c r="AH319" s="368"/>
      <c r="AI319" s="368"/>
    </row>
    <row r="320" spans="1:35" x14ac:dyDescent="0.2">
      <c r="A320" s="368"/>
      <c r="B320" s="368"/>
      <c r="C320" s="368"/>
      <c r="D320" s="368"/>
      <c r="E320" s="368"/>
      <c r="F320" s="368"/>
      <c r="G320" s="368"/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9"/>
      <c r="AG320" s="369"/>
      <c r="AH320" s="368"/>
      <c r="AI320" s="368"/>
    </row>
    <row r="321" spans="1:35" x14ac:dyDescent="0.2">
      <c r="A321" s="368"/>
      <c r="B321" s="368"/>
      <c r="C321" s="368"/>
      <c r="D321" s="368"/>
      <c r="E321" s="368"/>
      <c r="F321" s="368"/>
      <c r="G321" s="368"/>
      <c r="H321" s="368"/>
      <c r="I321" s="368"/>
      <c r="J321" s="368"/>
      <c r="K321" s="368"/>
      <c r="L321" s="368"/>
      <c r="M321" s="368"/>
      <c r="N321" s="368"/>
      <c r="O321" s="368"/>
      <c r="P321" s="368"/>
      <c r="Q321" s="368"/>
      <c r="R321" s="368"/>
      <c r="S321" s="368"/>
      <c r="T321" s="368"/>
      <c r="U321" s="368"/>
      <c r="V321" s="368"/>
      <c r="W321" s="368"/>
      <c r="X321" s="368"/>
      <c r="Y321" s="368"/>
      <c r="Z321" s="368"/>
      <c r="AA321" s="368"/>
      <c r="AB321" s="368"/>
      <c r="AC321" s="368"/>
      <c r="AD321" s="368"/>
      <c r="AE321" s="368"/>
      <c r="AF321" s="369"/>
      <c r="AG321" s="369"/>
      <c r="AH321" s="368"/>
      <c r="AI321" s="368"/>
    </row>
    <row r="322" spans="1:35" x14ac:dyDescent="0.2">
      <c r="A322" s="368"/>
      <c r="B322" s="368"/>
      <c r="C322" s="368"/>
      <c r="D322" s="368"/>
      <c r="E322" s="368"/>
      <c r="F322" s="368"/>
      <c r="G322" s="368"/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8"/>
      <c r="AE322" s="368"/>
      <c r="AF322" s="369"/>
      <c r="AG322" s="369"/>
      <c r="AH322" s="368"/>
      <c r="AI322" s="368"/>
    </row>
    <row r="323" spans="1:35" x14ac:dyDescent="0.2">
      <c r="A323" s="368"/>
      <c r="B323" s="368"/>
      <c r="C323" s="368"/>
      <c r="D323" s="368"/>
      <c r="E323" s="368"/>
      <c r="F323" s="368"/>
      <c r="G323" s="368"/>
      <c r="H323" s="368"/>
      <c r="I323" s="368"/>
      <c r="J323" s="368"/>
      <c r="K323" s="368"/>
      <c r="L323" s="368"/>
      <c r="M323" s="368"/>
      <c r="N323" s="368"/>
      <c r="O323" s="368"/>
      <c r="P323" s="368"/>
      <c r="Q323" s="368"/>
      <c r="R323" s="368"/>
      <c r="S323" s="368"/>
      <c r="T323" s="368"/>
      <c r="U323" s="368"/>
      <c r="V323" s="368"/>
      <c r="W323" s="368"/>
      <c r="X323" s="368"/>
      <c r="Y323" s="368"/>
      <c r="Z323" s="368"/>
      <c r="AA323" s="368"/>
      <c r="AB323" s="368"/>
      <c r="AC323" s="368"/>
      <c r="AD323" s="368"/>
      <c r="AE323" s="368"/>
      <c r="AF323" s="369"/>
      <c r="AG323" s="369"/>
      <c r="AH323" s="368"/>
      <c r="AI323" s="368"/>
    </row>
    <row r="324" spans="1:35" x14ac:dyDescent="0.2">
      <c r="A324" s="368"/>
      <c r="B324" s="368"/>
      <c r="C324" s="368"/>
      <c r="D324" s="368"/>
      <c r="E324" s="368"/>
      <c r="F324" s="368"/>
      <c r="G324" s="368"/>
      <c r="H324" s="368"/>
      <c r="I324" s="368"/>
      <c r="J324" s="368"/>
      <c r="K324" s="368"/>
      <c r="L324" s="368"/>
      <c r="M324" s="368"/>
      <c r="N324" s="368"/>
      <c r="O324" s="368"/>
      <c r="P324" s="368"/>
      <c r="Q324" s="368"/>
      <c r="R324" s="368"/>
      <c r="S324" s="368"/>
      <c r="T324" s="368"/>
      <c r="U324" s="368"/>
      <c r="V324" s="368"/>
      <c r="W324" s="368"/>
      <c r="X324" s="368"/>
      <c r="Y324" s="368"/>
      <c r="Z324" s="368"/>
      <c r="AA324" s="368"/>
      <c r="AB324" s="368"/>
      <c r="AC324" s="368"/>
      <c r="AD324" s="368"/>
      <c r="AE324" s="368"/>
      <c r="AF324" s="369"/>
      <c r="AG324" s="369"/>
      <c r="AH324" s="368"/>
      <c r="AI324" s="368"/>
    </row>
    <row r="325" spans="1:35" x14ac:dyDescent="0.2">
      <c r="A325" s="368"/>
      <c r="B325" s="368"/>
      <c r="C325" s="368"/>
      <c r="D325" s="368"/>
      <c r="E325" s="368"/>
      <c r="F325" s="368"/>
      <c r="G325" s="368"/>
      <c r="H325" s="368"/>
      <c r="I325" s="368"/>
      <c r="J325" s="368"/>
      <c r="K325" s="368"/>
      <c r="L325" s="368"/>
      <c r="M325" s="368"/>
      <c r="N325" s="368"/>
      <c r="O325" s="368"/>
      <c r="P325" s="368"/>
      <c r="Q325" s="368"/>
      <c r="R325" s="368"/>
      <c r="S325" s="368"/>
      <c r="T325" s="368"/>
      <c r="U325" s="368"/>
      <c r="V325" s="368"/>
      <c r="W325" s="368"/>
      <c r="X325" s="368"/>
      <c r="Y325" s="368"/>
      <c r="Z325" s="368"/>
      <c r="AA325" s="368"/>
      <c r="AB325" s="368"/>
      <c r="AC325" s="368"/>
      <c r="AD325" s="368"/>
      <c r="AE325" s="368"/>
      <c r="AF325" s="369"/>
      <c r="AG325" s="369"/>
      <c r="AH325" s="368"/>
      <c r="AI325" s="368"/>
    </row>
    <row r="326" spans="1:35" x14ac:dyDescent="0.2">
      <c r="A326" s="368"/>
      <c r="B326" s="368"/>
      <c r="C326" s="368"/>
      <c r="D326" s="368"/>
      <c r="E326" s="368"/>
      <c r="F326" s="368"/>
      <c r="G326" s="368"/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  <c r="Z326" s="368"/>
      <c r="AA326" s="368"/>
      <c r="AB326" s="368"/>
      <c r="AC326" s="368"/>
      <c r="AD326" s="368"/>
      <c r="AE326" s="368"/>
      <c r="AF326" s="369"/>
      <c r="AG326" s="369"/>
      <c r="AH326" s="368"/>
      <c r="AI326" s="368"/>
    </row>
    <row r="327" spans="1:35" x14ac:dyDescent="0.2">
      <c r="A327" s="368"/>
      <c r="B327" s="368"/>
      <c r="C327" s="368"/>
      <c r="D327" s="368"/>
      <c r="E327" s="368"/>
      <c r="F327" s="368"/>
      <c r="G327" s="368"/>
      <c r="H327" s="368"/>
      <c r="I327" s="368"/>
      <c r="J327" s="368"/>
      <c r="K327" s="368"/>
      <c r="L327" s="368"/>
      <c r="M327" s="368"/>
      <c r="N327" s="368"/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8"/>
      <c r="AA327" s="368"/>
      <c r="AB327" s="368"/>
      <c r="AC327" s="368"/>
      <c r="AD327" s="368"/>
      <c r="AE327" s="368"/>
      <c r="AF327" s="369"/>
      <c r="AG327" s="369"/>
      <c r="AH327" s="368"/>
      <c r="AI327" s="368"/>
    </row>
    <row r="328" spans="1:35" x14ac:dyDescent="0.2">
      <c r="A328" s="368"/>
      <c r="B328" s="368"/>
      <c r="C328" s="368"/>
      <c r="D328" s="368"/>
      <c r="E328" s="368"/>
      <c r="F328" s="368"/>
      <c r="G328" s="368"/>
      <c r="H328" s="368"/>
      <c r="I328" s="368"/>
      <c r="J328" s="368"/>
      <c r="K328" s="368"/>
      <c r="L328" s="368"/>
      <c r="M328" s="368"/>
      <c r="N328" s="368"/>
      <c r="O328" s="368"/>
      <c r="P328" s="368"/>
      <c r="Q328" s="368"/>
      <c r="R328" s="368"/>
      <c r="S328" s="368"/>
      <c r="T328" s="368"/>
      <c r="U328" s="368"/>
      <c r="V328" s="368"/>
      <c r="W328" s="368"/>
      <c r="X328" s="368"/>
      <c r="Y328" s="368"/>
      <c r="Z328" s="368"/>
      <c r="AA328" s="368"/>
      <c r="AB328" s="368"/>
      <c r="AC328" s="368"/>
      <c r="AD328" s="368"/>
      <c r="AE328" s="368"/>
      <c r="AF328" s="369"/>
      <c r="AG328" s="369"/>
      <c r="AH328" s="368"/>
      <c r="AI328" s="368"/>
    </row>
    <row r="329" spans="1:35" x14ac:dyDescent="0.2">
      <c r="A329" s="368"/>
      <c r="B329" s="368"/>
      <c r="C329" s="368"/>
      <c r="D329" s="368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  <c r="O329" s="368"/>
      <c r="P329" s="368"/>
      <c r="Q329" s="368"/>
      <c r="R329" s="368"/>
      <c r="S329" s="368"/>
      <c r="T329" s="368"/>
      <c r="U329" s="368"/>
      <c r="V329" s="368"/>
      <c r="W329" s="368"/>
      <c r="X329" s="368"/>
      <c r="Y329" s="368"/>
      <c r="Z329" s="368"/>
      <c r="AA329" s="368"/>
      <c r="AB329" s="368"/>
      <c r="AC329" s="368"/>
      <c r="AD329" s="368"/>
      <c r="AE329" s="368"/>
      <c r="AF329" s="369"/>
      <c r="AG329" s="369"/>
      <c r="AH329" s="368"/>
      <c r="AI329" s="368"/>
    </row>
    <row r="330" spans="1:35" x14ac:dyDescent="0.2">
      <c r="A330" s="368"/>
      <c r="B330" s="368"/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/>
      <c r="U330" s="368"/>
      <c r="V330" s="368"/>
      <c r="W330" s="368"/>
      <c r="X330" s="368"/>
      <c r="Y330" s="368"/>
      <c r="Z330" s="368"/>
      <c r="AA330" s="368"/>
      <c r="AB330" s="368"/>
      <c r="AC330" s="368"/>
      <c r="AD330" s="368"/>
      <c r="AE330" s="368"/>
      <c r="AF330" s="369"/>
      <c r="AG330" s="369"/>
      <c r="AH330" s="368"/>
      <c r="AI330" s="368"/>
    </row>
    <row r="331" spans="1:35" x14ac:dyDescent="0.2">
      <c r="A331" s="368"/>
      <c r="B331" s="368"/>
      <c r="C331" s="368"/>
      <c r="D331" s="368"/>
      <c r="E331" s="368"/>
      <c r="F331" s="368"/>
      <c r="G331" s="368"/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  <c r="Z331" s="368"/>
      <c r="AA331" s="368"/>
      <c r="AB331" s="368"/>
      <c r="AC331" s="368"/>
      <c r="AD331" s="368"/>
      <c r="AE331" s="368"/>
      <c r="AF331" s="369"/>
      <c r="AG331" s="369"/>
      <c r="AH331" s="368"/>
      <c r="AI331" s="368"/>
    </row>
    <row r="332" spans="1:35" x14ac:dyDescent="0.2">
      <c r="A332" s="368"/>
      <c r="B332" s="368"/>
      <c r="C332" s="368"/>
      <c r="D332" s="368"/>
      <c r="E332" s="368"/>
      <c r="F332" s="368"/>
      <c r="G332" s="368"/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  <c r="Z332" s="368"/>
      <c r="AA332" s="368"/>
      <c r="AB332" s="368"/>
      <c r="AC332" s="368"/>
      <c r="AD332" s="368"/>
      <c r="AE332" s="368"/>
      <c r="AF332" s="369"/>
      <c r="AG332" s="369"/>
      <c r="AH332" s="368"/>
      <c r="AI332" s="368"/>
    </row>
    <row r="333" spans="1:35" x14ac:dyDescent="0.2">
      <c r="A333" s="368"/>
      <c r="B333" s="368"/>
      <c r="C333" s="368"/>
      <c r="D333" s="368"/>
      <c r="E333" s="368"/>
      <c r="F333" s="368"/>
      <c r="G333" s="368"/>
      <c r="H333" s="368"/>
      <c r="I333" s="368"/>
      <c r="J333" s="368"/>
      <c r="K333" s="368"/>
      <c r="L333" s="368"/>
      <c r="M333" s="368"/>
      <c r="N333" s="368"/>
      <c r="O333" s="368"/>
      <c r="P333" s="368"/>
      <c r="Q333" s="368"/>
      <c r="R333" s="368"/>
      <c r="S333" s="368"/>
      <c r="T333" s="368"/>
      <c r="U333" s="368"/>
      <c r="V333" s="368"/>
      <c r="W333" s="368"/>
      <c r="X333" s="368"/>
      <c r="Y333" s="368"/>
      <c r="Z333" s="368"/>
      <c r="AA333" s="368"/>
      <c r="AB333" s="368"/>
      <c r="AC333" s="368"/>
      <c r="AD333" s="368"/>
      <c r="AE333" s="368"/>
      <c r="AF333" s="369"/>
      <c r="AG333" s="369"/>
      <c r="AH333" s="368"/>
      <c r="AI333" s="368"/>
    </row>
    <row r="334" spans="1:35" x14ac:dyDescent="0.2">
      <c r="A334" s="368"/>
      <c r="B334" s="368"/>
      <c r="C334" s="368"/>
      <c r="D334" s="368"/>
      <c r="E334" s="368"/>
      <c r="F334" s="368"/>
      <c r="G334" s="368"/>
      <c r="H334" s="368"/>
      <c r="I334" s="368"/>
      <c r="J334" s="368"/>
      <c r="K334" s="368"/>
      <c r="L334" s="368"/>
      <c r="M334" s="368"/>
      <c r="N334" s="368"/>
      <c r="O334" s="368"/>
      <c r="P334" s="368"/>
      <c r="Q334" s="368"/>
      <c r="R334" s="368"/>
      <c r="S334" s="368"/>
      <c r="T334" s="368"/>
      <c r="U334" s="368"/>
      <c r="V334" s="368"/>
      <c r="W334" s="368"/>
      <c r="X334" s="368"/>
      <c r="Y334" s="368"/>
      <c r="Z334" s="368"/>
      <c r="AA334" s="368"/>
      <c r="AB334" s="368"/>
      <c r="AC334" s="368"/>
      <c r="AD334" s="368"/>
      <c r="AE334" s="368"/>
      <c r="AF334" s="369"/>
      <c r="AG334" s="369"/>
      <c r="AH334" s="368"/>
      <c r="AI334" s="368"/>
    </row>
    <row r="335" spans="1:35" x14ac:dyDescent="0.2">
      <c r="A335" s="368"/>
      <c r="B335" s="368"/>
      <c r="C335" s="368"/>
      <c r="D335" s="368"/>
      <c r="E335" s="368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9"/>
      <c r="AG335" s="369"/>
      <c r="AH335" s="368"/>
      <c r="AI335" s="368"/>
    </row>
    <row r="336" spans="1:35" x14ac:dyDescent="0.2">
      <c r="A336" s="368"/>
      <c r="B336" s="368"/>
      <c r="C336" s="368"/>
      <c r="D336" s="368"/>
      <c r="E336" s="368"/>
      <c r="F336" s="368"/>
      <c r="G336" s="368"/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  <c r="Z336" s="368"/>
      <c r="AA336" s="368"/>
      <c r="AB336" s="368"/>
      <c r="AC336" s="368"/>
      <c r="AD336" s="368"/>
      <c r="AE336" s="368"/>
      <c r="AF336" s="369"/>
      <c r="AG336" s="369"/>
      <c r="AH336" s="368"/>
      <c r="AI336" s="368"/>
    </row>
    <row r="337" spans="1:35" x14ac:dyDescent="0.2">
      <c r="A337" s="368"/>
      <c r="B337" s="368"/>
      <c r="C337" s="368"/>
      <c r="D337" s="368"/>
      <c r="E337" s="368"/>
      <c r="F337" s="368"/>
      <c r="G337" s="368"/>
      <c r="H337" s="368"/>
      <c r="I337" s="368"/>
      <c r="J337" s="368"/>
      <c r="K337" s="368"/>
      <c r="L337" s="368"/>
      <c r="M337" s="368"/>
      <c r="N337" s="368"/>
      <c r="O337" s="368"/>
      <c r="P337" s="368"/>
      <c r="Q337" s="368"/>
      <c r="R337" s="368"/>
      <c r="S337" s="368"/>
      <c r="T337" s="368"/>
      <c r="U337" s="368"/>
      <c r="V337" s="368"/>
      <c r="W337" s="368"/>
      <c r="X337" s="368"/>
      <c r="Y337" s="368"/>
      <c r="Z337" s="368"/>
      <c r="AA337" s="368"/>
      <c r="AB337" s="368"/>
      <c r="AC337" s="368"/>
      <c r="AD337" s="368"/>
      <c r="AE337" s="368"/>
      <c r="AF337" s="369"/>
      <c r="AG337" s="369"/>
      <c r="AH337" s="368"/>
      <c r="AI337" s="368"/>
    </row>
    <row r="338" spans="1:35" x14ac:dyDescent="0.2">
      <c r="A338" s="368"/>
      <c r="B338" s="368"/>
      <c r="C338" s="368"/>
      <c r="D338" s="368"/>
      <c r="E338" s="368"/>
      <c r="F338" s="368"/>
      <c r="G338" s="368"/>
      <c r="H338" s="368"/>
      <c r="I338" s="368"/>
      <c r="J338" s="368"/>
      <c r="K338" s="368"/>
      <c r="L338" s="368"/>
      <c r="M338" s="368"/>
      <c r="N338" s="368"/>
      <c r="O338" s="368"/>
      <c r="P338" s="368"/>
      <c r="Q338" s="368"/>
      <c r="R338" s="368"/>
      <c r="S338" s="368"/>
      <c r="T338" s="368"/>
      <c r="U338" s="368"/>
      <c r="V338" s="368"/>
      <c r="W338" s="368"/>
      <c r="X338" s="368"/>
      <c r="Y338" s="368"/>
      <c r="Z338" s="368"/>
      <c r="AA338" s="368"/>
      <c r="AB338" s="368"/>
      <c r="AC338" s="368"/>
      <c r="AD338" s="368"/>
      <c r="AE338" s="368"/>
      <c r="AF338" s="369"/>
      <c r="AG338" s="369"/>
      <c r="AH338" s="368"/>
      <c r="AI338" s="368"/>
    </row>
    <row r="339" spans="1:35" x14ac:dyDescent="0.2">
      <c r="A339" s="368"/>
      <c r="B339" s="368"/>
      <c r="C339" s="368"/>
      <c r="D339" s="368"/>
      <c r="E339" s="368"/>
      <c r="F339" s="368"/>
      <c r="G339" s="368"/>
      <c r="H339" s="368"/>
      <c r="I339" s="368"/>
      <c r="J339" s="368"/>
      <c r="K339" s="368"/>
      <c r="L339" s="368"/>
      <c r="M339" s="368"/>
      <c r="N339" s="368"/>
      <c r="O339" s="368"/>
      <c r="P339" s="368"/>
      <c r="Q339" s="368"/>
      <c r="R339" s="368"/>
      <c r="S339" s="368"/>
      <c r="T339" s="368"/>
      <c r="U339" s="368"/>
      <c r="V339" s="368"/>
      <c r="W339" s="368"/>
      <c r="X339" s="368"/>
      <c r="Y339" s="368"/>
      <c r="Z339" s="368"/>
      <c r="AA339" s="368"/>
      <c r="AB339" s="368"/>
      <c r="AC339" s="368"/>
      <c r="AD339" s="368"/>
      <c r="AE339" s="368"/>
      <c r="AF339" s="369"/>
      <c r="AG339" s="369"/>
      <c r="AH339" s="368"/>
      <c r="AI339" s="368"/>
    </row>
    <row r="340" spans="1:35" x14ac:dyDescent="0.2">
      <c r="A340" s="368"/>
      <c r="B340" s="368"/>
      <c r="C340" s="368"/>
      <c r="D340" s="368"/>
      <c r="E340" s="368"/>
      <c r="F340" s="368"/>
      <c r="G340" s="368"/>
      <c r="H340" s="368"/>
      <c r="I340" s="368"/>
      <c r="J340" s="368"/>
      <c r="K340" s="368"/>
      <c r="L340" s="368"/>
      <c r="M340" s="368"/>
      <c r="N340" s="368"/>
      <c r="O340" s="368"/>
      <c r="P340" s="368"/>
      <c r="Q340" s="368"/>
      <c r="R340" s="368"/>
      <c r="S340" s="368"/>
      <c r="T340" s="368"/>
      <c r="U340" s="368"/>
      <c r="V340" s="368"/>
      <c r="W340" s="368"/>
      <c r="X340" s="368"/>
      <c r="Y340" s="368"/>
      <c r="Z340" s="368"/>
      <c r="AA340" s="368"/>
      <c r="AB340" s="368"/>
      <c r="AC340" s="368"/>
      <c r="AD340" s="368"/>
      <c r="AE340" s="368"/>
      <c r="AF340" s="369"/>
      <c r="AG340" s="369"/>
      <c r="AH340" s="368"/>
      <c r="AI340" s="368"/>
    </row>
    <row r="341" spans="1:35" x14ac:dyDescent="0.2">
      <c r="A341" s="368"/>
      <c r="B341" s="368"/>
      <c r="C341" s="368"/>
      <c r="D341" s="368"/>
      <c r="E341" s="368"/>
      <c r="F341" s="368"/>
      <c r="G341" s="368"/>
      <c r="H341" s="368"/>
      <c r="I341" s="368"/>
      <c r="J341" s="368"/>
      <c r="K341" s="368"/>
      <c r="L341" s="368"/>
      <c r="M341" s="368"/>
      <c r="N341" s="368"/>
      <c r="O341" s="368"/>
      <c r="P341" s="368"/>
      <c r="Q341" s="368"/>
      <c r="R341" s="368"/>
      <c r="S341" s="368"/>
      <c r="T341" s="368"/>
      <c r="U341" s="368"/>
      <c r="V341" s="368"/>
      <c r="W341" s="368"/>
      <c r="X341" s="368"/>
      <c r="Y341" s="368"/>
      <c r="Z341" s="368"/>
      <c r="AA341" s="368"/>
      <c r="AB341" s="368"/>
      <c r="AC341" s="368"/>
      <c r="AD341" s="368"/>
      <c r="AE341" s="368"/>
      <c r="AF341" s="369"/>
      <c r="AG341" s="369"/>
      <c r="AH341" s="368"/>
      <c r="AI341" s="368"/>
    </row>
    <row r="342" spans="1:35" x14ac:dyDescent="0.2">
      <c r="A342" s="368"/>
      <c r="B342" s="368"/>
      <c r="C342" s="368"/>
      <c r="D342" s="368"/>
      <c r="E342" s="368"/>
      <c r="F342" s="368"/>
      <c r="G342" s="368"/>
      <c r="H342" s="368"/>
      <c r="I342" s="368"/>
      <c r="J342" s="368"/>
      <c r="K342" s="368"/>
      <c r="L342" s="368"/>
      <c r="M342" s="368"/>
      <c r="N342" s="368"/>
      <c r="O342" s="368"/>
      <c r="P342" s="368"/>
      <c r="Q342" s="368"/>
      <c r="R342" s="368"/>
      <c r="S342" s="368"/>
      <c r="T342" s="368"/>
      <c r="U342" s="368"/>
      <c r="V342" s="368"/>
      <c r="W342" s="368"/>
      <c r="X342" s="368"/>
      <c r="Y342" s="368"/>
      <c r="Z342" s="368"/>
      <c r="AA342" s="368"/>
      <c r="AB342" s="368"/>
      <c r="AC342" s="368"/>
      <c r="AD342" s="368"/>
      <c r="AE342" s="368"/>
      <c r="AF342" s="369"/>
      <c r="AG342" s="369"/>
      <c r="AH342" s="368"/>
      <c r="AI342" s="368"/>
    </row>
    <row r="343" spans="1:35" x14ac:dyDescent="0.2">
      <c r="A343" s="368"/>
      <c r="B343" s="368"/>
      <c r="C343" s="368"/>
      <c r="D343" s="368"/>
      <c r="E343" s="368"/>
      <c r="F343" s="368"/>
      <c r="G343" s="368"/>
      <c r="H343" s="368"/>
      <c r="I343" s="368"/>
      <c r="J343" s="368"/>
      <c r="K343" s="368"/>
      <c r="L343" s="368"/>
      <c r="M343" s="368"/>
      <c r="N343" s="368"/>
      <c r="O343" s="368"/>
      <c r="P343" s="368"/>
      <c r="Q343" s="368"/>
      <c r="R343" s="368"/>
      <c r="S343" s="368"/>
      <c r="T343" s="368"/>
      <c r="U343" s="368"/>
      <c r="V343" s="368"/>
      <c r="W343" s="368"/>
      <c r="X343" s="368"/>
      <c r="Y343" s="368"/>
      <c r="Z343" s="368"/>
      <c r="AA343" s="368"/>
      <c r="AB343" s="368"/>
      <c r="AC343" s="368"/>
      <c r="AD343" s="368"/>
      <c r="AE343" s="368"/>
      <c r="AF343" s="369"/>
      <c r="AG343" s="369"/>
      <c r="AH343" s="368"/>
      <c r="AI343" s="368"/>
    </row>
    <row r="344" spans="1:35" x14ac:dyDescent="0.2">
      <c r="A344" s="368"/>
      <c r="B344" s="368"/>
      <c r="C344" s="368"/>
      <c r="D344" s="368"/>
      <c r="E344" s="368"/>
      <c r="F344" s="368"/>
      <c r="G344" s="368"/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8"/>
      <c r="AE344" s="368"/>
      <c r="AF344" s="369"/>
      <c r="AG344" s="369"/>
      <c r="AH344" s="368"/>
      <c r="AI344" s="368"/>
    </row>
    <row r="345" spans="1:35" x14ac:dyDescent="0.2">
      <c r="A345" s="368"/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8"/>
      <c r="M345" s="368"/>
      <c r="N345" s="368"/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8"/>
      <c r="AA345" s="368"/>
      <c r="AB345" s="368"/>
      <c r="AC345" s="368"/>
      <c r="AD345" s="368"/>
      <c r="AE345" s="368"/>
      <c r="AF345" s="369"/>
      <c r="AG345" s="369"/>
      <c r="AH345" s="368"/>
      <c r="AI345" s="368"/>
    </row>
    <row r="346" spans="1:35" x14ac:dyDescent="0.2">
      <c r="A346" s="368"/>
      <c r="B346" s="368"/>
      <c r="C346" s="368"/>
      <c r="D346" s="368"/>
      <c r="E346" s="368"/>
      <c r="F346" s="368"/>
      <c r="G346" s="368"/>
      <c r="H346" s="368"/>
      <c r="I346" s="368"/>
      <c r="J346" s="368"/>
      <c r="K346" s="368"/>
      <c r="L346" s="368"/>
      <c r="M346" s="368"/>
      <c r="N346" s="368"/>
      <c r="O346" s="368"/>
      <c r="P346" s="368"/>
      <c r="Q346" s="368"/>
      <c r="R346" s="368"/>
      <c r="S346" s="368"/>
      <c r="T346" s="368"/>
      <c r="U346" s="368"/>
      <c r="V346" s="368"/>
      <c r="W346" s="368"/>
      <c r="X346" s="368"/>
      <c r="Y346" s="368"/>
      <c r="Z346" s="368"/>
      <c r="AA346" s="368"/>
      <c r="AB346" s="368"/>
      <c r="AC346" s="368"/>
      <c r="AD346" s="368"/>
      <c r="AE346" s="368"/>
      <c r="AF346" s="369"/>
      <c r="AG346" s="369"/>
      <c r="AH346" s="368"/>
      <c r="AI346" s="368"/>
    </row>
    <row r="347" spans="1:35" x14ac:dyDescent="0.2">
      <c r="A347" s="368"/>
      <c r="B347" s="368"/>
      <c r="C347" s="368"/>
      <c r="D347" s="368"/>
      <c r="E347" s="368"/>
      <c r="F347" s="368"/>
      <c r="G347" s="368"/>
      <c r="H347" s="368"/>
      <c r="I347" s="368"/>
      <c r="J347" s="368"/>
      <c r="K347" s="368"/>
      <c r="L347" s="368"/>
      <c r="M347" s="368"/>
      <c r="N347" s="368"/>
      <c r="O347" s="368"/>
      <c r="P347" s="368"/>
      <c r="Q347" s="368"/>
      <c r="R347" s="368"/>
      <c r="S347" s="368"/>
      <c r="T347" s="368"/>
      <c r="U347" s="368"/>
      <c r="V347" s="368"/>
      <c r="W347" s="368"/>
      <c r="X347" s="368"/>
      <c r="Y347" s="368"/>
      <c r="Z347" s="368"/>
      <c r="AA347" s="368"/>
      <c r="AB347" s="368"/>
      <c r="AC347" s="368"/>
      <c r="AD347" s="368"/>
      <c r="AE347" s="368"/>
      <c r="AF347" s="369"/>
      <c r="AG347" s="369"/>
      <c r="AH347" s="368"/>
      <c r="AI347" s="368"/>
    </row>
    <row r="348" spans="1:35" x14ac:dyDescent="0.2">
      <c r="A348" s="368"/>
      <c r="B348" s="368"/>
      <c r="C348" s="368"/>
      <c r="D348" s="368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8"/>
      <c r="AB348" s="368"/>
      <c r="AC348" s="368"/>
      <c r="AD348" s="368"/>
      <c r="AE348" s="368"/>
      <c r="AF348" s="369"/>
      <c r="AG348" s="369"/>
      <c r="AH348" s="368"/>
      <c r="AI348" s="368"/>
    </row>
    <row r="349" spans="1:35" x14ac:dyDescent="0.2">
      <c r="A349" s="368"/>
      <c r="B349" s="368"/>
      <c r="C349" s="368"/>
      <c r="D349" s="368"/>
      <c r="E349" s="368"/>
      <c r="F349" s="368"/>
      <c r="G349" s="368"/>
      <c r="H349" s="368"/>
      <c r="I349" s="368"/>
      <c r="J349" s="368"/>
      <c r="K349" s="368"/>
      <c r="L349" s="368"/>
      <c r="M349" s="368"/>
      <c r="N349" s="368"/>
      <c r="O349" s="368"/>
      <c r="P349" s="368"/>
      <c r="Q349" s="368"/>
      <c r="R349" s="368"/>
      <c r="S349" s="368"/>
      <c r="T349" s="368"/>
      <c r="U349" s="368"/>
      <c r="V349" s="368"/>
      <c r="W349" s="368"/>
      <c r="X349" s="368"/>
      <c r="Y349" s="368"/>
      <c r="Z349" s="368"/>
      <c r="AA349" s="368"/>
      <c r="AB349" s="368"/>
      <c r="AC349" s="368"/>
      <c r="AD349" s="368"/>
      <c r="AE349" s="368"/>
      <c r="AF349" s="369"/>
      <c r="AG349" s="369"/>
      <c r="AH349" s="368"/>
      <c r="AI349" s="368"/>
    </row>
    <row r="350" spans="1:35" x14ac:dyDescent="0.2">
      <c r="A350" s="368"/>
      <c r="B350" s="368"/>
      <c r="C350" s="368"/>
      <c r="D350" s="368"/>
      <c r="E350" s="368"/>
      <c r="F350" s="368"/>
      <c r="G350" s="368"/>
      <c r="H350" s="368"/>
      <c r="I350" s="368"/>
      <c r="J350" s="368"/>
      <c r="K350" s="368"/>
      <c r="L350" s="368"/>
      <c r="M350" s="368"/>
      <c r="N350" s="368"/>
      <c r="O350" s="368"/>
      <c r="P350" s="368"/>
      <c r="Q350" s="368"/>
      <c r="R350" s="368"/>
      <c r="S350" s="368"/>
      <c r="T350" s="368"/>
      <c r="U350" s="368"/>
      <c r="V350" s="368"/>
      <c r="W350" s="368"/>
      <c r="X350" s="368"/>
      <c r="Y350" s="368"/>
      <c r="Z350" s="368"/>
      <c r="AA350" s="368"/>
      <c r="AB350" s="368"/>
      <c r="AC350" s="368"/>
      <c r="AD350" s="368"/>
      <c r="AE350" s="368"/>
      <c r="AF350" s="369"/>
      <c r="AG350" s="369"/>
      <c r="AH350" s="368"/>
      <c r="AI350" s="368"/>
    </row>
    <row r="351" spans="1:35" x14ac:dyDescent="0.2">
      <c r="A351" s="368"/>
      <c r="B351" s="368"/>
      <c r="C351" s="368"/>
      <c r="D351" s="368"/>
      <c r="E351" s="368"/>
      <c r="F351" s="368"/>
      <c r="G351" s="368"/>
      <c r="H351" s="368"/>
      <c r="I351" s="368"/>
      <c r="J351" s="368"/>
      <c r="K351" s="368"/>
      <c r="L351" s="368"/>
      <c r="M351" s="368"/>
      <c r="N351" s="368"/>
      <c r="O351" s="368"/>
      <c r="P351" s="368"/>
      <c r="Q351" s="368"/>
      <c r="R351" s="368"/>
      <c r="S351" s="368"/>
      <c r="T351" s="368"/>
      <c r="U351" s="368"/>
      <c r="V351" s="368"/>
      <c r="W351" s="368"/>
      <c r="X351" s="368"/>
      <c r="Y351" s="368"/>
      <c r="Z351" s="368"/>
      <c r="AA351" s="368"/>
      <c r="AB351" s="368"/>
      <c r="AC351" s="368"/>
      <c r="AD351" s="368"/>
      <c r="AE351" s="368"/>
      <c r="AF351" s="369"/>
      <c r="AG351" s="369"/>
      <c r="AH351" s="368"/>
      <c r="AI351" s="368"/>
    </row>
    <row r="352" spans="1:35" x14ac:dyDescent="0.2">
      <c r="A352" s="368"/>
      <c r="B352" s="368"/>
      <c r="C352" s="368"/>
      <c r="D352" s="368"/>
      <c r="E352" s="368"/>
      <c r="F352" s="368"/>
      <c r="G352" s="368"/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  <c r="Z352" s="368"/>
      <c r="AA352" s="368"/>
      <c r="AB352" s="368"/>
      <c r="AC352" s="368"/>
      <c r="AD352" s="368"/>
      <c r="AE352" s="368"/>
      <c r="AF352" s="369"/>
      <c r="AG352" s="369"/>
      <c r="AH352" s="368"/>
      <c r="AI352" s="368"/>
    </row>
    <row r="353" spans="1:35" x14ac:dyDescent="0.2">
      <c r="A353" s="368"/>
      <c r="B353" s="368"/>
      <c r="C353" s="368"/>
      <c r="D353" s="368"/>
      <c r="E353" s="368"/>
      <c r="F353" s="368"/>
      <c r="G353" s="368"/>
      <c r="H353" s="368"/>
      <c r="I353" s="368"/>
      <c r="J353" s="368"/>
      <c r="K353" s="368"/>
      <c r="L353" s="368"/>
      <c r="M353" s="368"/>
      <c r="N353" s="368"/>
      <c r="O353" s="368"/>
      <c r="P353" s="368"/>
      <c r="Q353" s="368"/>
      <c r="R353" s="368"/>
      <c r="S353" s="368"/>
      <c r="T353" s="368"/>
      <c r="U353" s="368"/>
      <c r="V353" s="368"/>
      <c r="W353" s="368"/>
      <c r="X353" s="368"/>
      <c r="Y353" s="368"/>
      <c r="Z353" s="368"/>
      <c r="AA353" s="368"/>
      <c r="AB353" s="368"/>
      <c r="AC353" s="368"/>
      <c r="AD353" s="368"/>
      <c r="AE353" s="368"/>
      <c r="AF353" s="369"/>
      <c r="AG353" s="369"/>
      <c r="AH353" s="368"/>
      <c r="AI353" s="368"/>
    </row>
    <row r="354" spans="1:35" x14ac:dyDescent="0.2">
      <c r="A354" s="368"/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368"/>
      <c r="T354" s="368"/>
      <c r="U354" s="368"/>
      <c r="V354" s="368"/>
      <c r="W354" s="368"/>
      <c r="X354" s="368"/>
      <c r="Y354" s="368"/>
      <c r="Z354" s="368"/>
      <c r="AA354" s="368"/>
      <c r="AB354" s="368"/>
      <c r="AC354" s="368"/>
      <c r="AD354" s="368"/>
      <c r="AE354" s="368"/>
      <c r="AF354" s="369"/>
      <c r="AG354" s="369"/>
      <c r="AH354" s="368"/>
      <c r="AI354" s="368"/>
    </row>
    <row r="355" spans="1:35" x14ac:dyDescent="0.2">
      <c r="A355" s="368"/>
      <c r="B355" s="368"/>
      <c r="C355" s="368"/>
      <c r="D355" s="368"/>
      <c r="E355" s="368"/>
      <c r="F355" s="368"/>
      <c r="G355" s="368"/>
      <c r="H355" s="368"/>
      <c r="I355" s="368"/>
      <c r="J355" s="368"/>
      <c r="K355" s="368"/>
      <c r="L355" s="368"/>
      <c r="M355" s="368"/>
      <c r="N355" s="368"/>
      <c r="O355" s="368"/>
      <c r="P355" s="368"/>
      <c r="Q355" s="368"/>
      <c r="R355" s="368"/>
      <c r="S355" s="368"/>
      <c r="T355" s="368"/>
      <c r="U355" s="368"/>
      <c r="V355" s="368"/>
      <c r="W355" s="368"/>
      <c r="X355" s="368"/>
      <c r="Y355" s="368"/>
      <c r="Z355" s="368"/>
      <c r="AA355" s="368"/>
      <c r="AB355" s="368"/>
      <c r="AC355" s="368"/>
      <c r="AD355" s="368"/>
      <c r="AE355" s="368"/>
      <c r="AF355" s="369"/>
      <c r="AG355" s="369"/>
      <c r="AH355" s="368"/>
      <c r="AI355" s="368"/>
    </row>
    <row r="356" spans="1:35" x14ac:dyDescent="0.2">
      <c r="A356" s="368"/>
      <c r="B356" s="368"/>
      <c r="C356" s="368"/>
      <c r="D356" s="368"/>
      <c r="E356" s="368"/>
      <c r="F356" s="368"/>
      <c r="G356" s="368"/>
      <c r="H356" s="368"/>
      <c r="I356" s="368"/>
      <c r="J356" s="368"/>
      <c r="K356" s="368"/>
      <c r="L356" s="368"/>
      <c r="M356" s="368"/>
      <c r="N356" s="368"/>
      <c r="O356" s="368"/>
      <c r="P356" s="368"/>
      <c r="Q356" s="368"/>
      <c r="R356" s="368"/>
      <c r="S356" s="368"/>
      <c r="T356" s="368"/>
      <c r="U356" s="368"/>
      <c r="V356" s="368"/>
      <c r="W356" s="368"/>
      <c r="X356" s="368"/>
      <c r="Y356" s="368"/>
      <c r="Z356" s="368"/>
      <c r="AA356" s="368"/>
      <c r="AB356" s="368"/>
      <c r="AC356" s="368"/>
      <c r="AD356" s="368"/>
      <c r="AE356" s="368"/>
      <c r="AF356" s="369"/>
      <c r="AG356" s="369"/>
      <c r="AH356" s="368"/>
      <c r="AI356" s="368"/>
    </row>
    <row r="357" spans="1:35" x14ac:dyDescent="0.2">
      <c r="A357" s="368"/>
      <c r="B357" s="368"/>
      <c r="C357" s="368"/>
      <c r="D357" s="368"/>
      <c r="E357" s="368"/>
      <c r="F357" s="368"/>
      <c r="G357" s="368"/>
      <c r="H357" s="368"/>
      <c r="I357" s="368"/>
      <c r="J357" s="368"/>
      <c r="K357" s="368"/>
      <c r="L357" s="368"/>
      <c r="M357" s="368"/>
      <c r="N357" s="368"/>
      <c r="O357" s="368"/>
      <c r="P357" s="368"/>
      <c r="Q357" s="368"/>
      <c r="R357" s="368"/>
      <c r="S357" s="368"/>
      <c r="T357" s="368"/>
      <c r="U357" s="368"/>
      <c r="V357" s="368"/>
      <c r="W357" s="368"/>
      <c r="X357" s="368"/>
      <c r="Y357" s="368"/>
      <c r="Z357" s="368"/>
      <c r="AA357" s="368"/>
      <c r="AB357" s="368"/>
      <c r="AC357" s="368"/>
      <c r="AD357" s="368"/>
      <c r="AE357" s="368"/>
      <c r="AF357" s="369"/>
      <c r="AG357" s="369"/>
      <c r="AH357" s="368"/>
      <c r="AI357" s="368"/>
    </row>
    <row r="358" spans="1:35" x14ac:dyDescent="0.2">
      <c r="A358" s="368"/>
      <c r="B358" s="368"/>
      <c r="C358" s="368"/>
      <c r="D358" s="368"/>
      <c r="E358" s="368"/>
      <c r="F358" s="368"/>
      <c r="G358" s="368"/>
      <c r="H358" s="368"/>
      <c r="I358" s="368"/>
      <c r="J358" s="368"/>
      <c r="K358" s="368"/>
      <c r="L358" s="368"/>
      <c r="M358" s="368"/>
      <c r="N358" s="368"/>
      <c r="O358" s="368"/>
      <c r="P358" s="368"/>
      <c r="Q358" s="368"/>
      <c r="R358" s="368"/>
      <c r="S358" s="368"/>
      <c r="T358" s="368"/>
      <c r="U358" s="368"/>
      <c r="V358" s="368"/>
      <c r="W358" s="368"/>
      <c r="X358" s="368"/>
      <c r="Y358" s="368"/>
      <c r="Z358" s="368"/>
      <c r="AA358" s="368"/>
      <c r="AB358" s="368"/>
      <c r="AC358" s="368"/>
      <c r="AD358" s="368"/>
      <c r="AE358" s="368"/>
      <c r="AF358" s="369"/>
      <c r="AG358" s="369"/>
      <c r="AH358" s="368"/>
      <c r="AI358" s="368"/>
    </row>
    <row r="359" spans="1:35" x14ac:dyDescent="0.2">
      <c r="A359" s="368"/>
      <c r="B359" s="368"/>
      <c r="C359" s="368"/>
      <c r="D359" s="368"/>
      <c r="E359" s="368"/>
      <c r="F359" s="368"/>
      <c r="G359" s="368"/>
      <c r="H359" s="368"/>
      <c r="I359" s="368"/>
      <c r="J359" s="368"/>
      <c r="K359" s="368"/>
      <c r="L359" s="368"/>
      <c r="M359" s="368"/>
      <c r="N359" s="368"/>
      <c r="O359" s="368"/>
      <c r="P359" s="368"/>
      <c r="Q359" s="368"/>
      <c r="R359" s="368"/>
      <c r="S359" s="368"/>
      <c r="T359" s="368"/>
      <c r="U359" s="368"/>
      <c r="V359" s="368"/>
      <c r="W359" s="368"/>
      <c r="X359" s="368"/>
      <c r="Y359" s="368"/>
      <c r="Z359" s="368"/>
      <c r="AA359" s="368"/>
      <c r="AB359" s="368"/>
      <c r="AC359" s="368"/>
      <c r="AD359" s="368"/>
      <c r="AE359" s="368"/>
      <c r="AF359" s="369"/>
      <c r="AG359" s="369"/>
      <c r="AH359" s="368"/>
      <c r="AI359" s="368"/>
    </row>
    <row r="360" spans="1:35" x14ac:dyDescent="0.2">
      <c r="A360" s="368"/>
      <c r="B360" s="368"/>
      <c r="C360" s="368"/>
      <c r="D360" s="368"/>
      <c r="E360" s="368"/>
      <c r="F360" s="368"/>
      <c r="G360" s="368"/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  <c r="Z360" s="368"/>
      <c r="AA360" s="368"/>
      <c r="AB360" s="368"/>
      <c r="AC360" s="368"/>
      <c r="AD360" s="368"/>
      <c r="AE360" s="368"/>
      <c r="AF360" s="369"/>
      <c r="AG360" s="369"/>
      <c r="AH360" s="368"/>
      <c r="AI360" s="368"/>
    </row>
    <row r="361" spans="1:35" x14ac:dyDescent="0.2">
      <c r="A361" s="368"/>
      <c r="B361" s="368"/>
      <c r="C361" s="368"/>
      <c r="D361" s="368"/>
      <c r="E361" s="368"/>
      <c r="F361" s="368"/>
      <c r="G361" s="368"/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8"/>
      <c r="AE361" s="368"/>
      <c r="AF361" s="369"/>
      <c r="AG361" s="369"/>
      <c r="AH361" s="368"/>
      <c r="AI361" s="368"/>
    </row>
    <row r="362" spans="1:35" x14ac:dyDescent="0.2">
      <c r="A362" s="368"/>
      <c r="B362" s="368"/>
      <c r="C362" s="368"/>
      <c r="D362" s="368"/>
      <c r="E362" s="368"/>
      <c r="F362" s="368"/>
      <c r="G362" s="368"/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8"/>
      <c r="AE362" s="368"/>
      <c r="AF362" s="369"/>
      <c r="AG362" s="369"/>
      <c r="AH362" s="368"/>
      <c r="AI362" s="368"/>
    </row>
    <row r="363" spans="1:35" x14ac:dyDescent="0.2">
      <c r="A363" s="368"/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8"/>
      <c r="AA363" s="368"/>
      <c r="AB363" s="368"/>
      <c r="AC363" s="368"/>
      <c r="AD363" s="368"/>
      <c r="AE363" s="368"/>
      <c r="AF363" s="369"/>
      <c r="AG363" s="369"/>
      <c r="AH363" s="368"/>
      <c r="AI363" s="368"/>
    </row>
    <row r="364" spans="1:35" x14ac:dyDescent="0.2">
      <c r="A364" s="368"/>
      <c r="B364" s="368"/>
      <c r="C364" s="368"/>
      <c r="D364" s="368"/>
      <c r="E364" s="368"/>
      <c r="F364" s="368"/>
      <c r="G364" s="368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  <c r="Z364" s="368"/>
      <c r="AA364" s="368"/>
      <c r="AB364" s="368"/>
      <c r="AC364" s="368"/>
      <c r="AD364" s="368"/>
      <c r="AE364" s="368"/>
      <c r="AF364" s="369"/>
      <c r="AG364" s="369"/>
      <c r="AH364" s="368"/>
      <c r="AI364" s="368"/>
    </row>
    <row r="365" spans="1:35" x14ac:dyDescent="0.2">
      <c r="A365" s="368"/>
      <c r="B365" s="368"/>
      <c r="C365" s="368"/>
      <c r="D365" s="368"/>
      <c r="E365" s="368"/>
      <c r="F365" s="368"/>
      <c r="G365" s="368"/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  <c r="Z365" s="368"/>
      <c r="AA365" s="368"/>
      <c r="AB365" s="368"/>
      <c r="AC365" s="368"/>
      <c r="AD365" s="368"/>
      <c r="AE365" s="368"/>
      <c r="AF365" s="369"/>
      <c r="AG365" s="369"/>
      <c r="AH365" s="368"/>
      <c r="AI365" s="368"/>
    </row>
    <row r="366" spans="1:35" x14ac:dyDescent="0.2">
      <c r="A366" s="368"/>
      <c r="B366" s="368"/>
      <c r="C366" s="368"/>
      <c r="D366" s="368"/>
      <c r="E366" s="368"/>
      <c r="F366" s="368"/>
      <c r="G366" s="368"/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  <c r="Z366" s="368"/>
      <c r="AA366" s="368"/>
      <c r="AB366" s="368"/>
      <c r="AC366" s="368"/>
      <c r="AD366" s="368"/>
      <c r="AE366" s="368"/>
      <c r="AF366" s="369"/>
      <c r="AG366" s="369"/>
      <c r="AH366" s="368"/>
      <c r="AI366" s="368"/>
    </row>
    <row r="367" spans="1:35" x14ac:dyDescent="0.2">
      <c r="A367" s="368"/>
      <c r="B367" s="368"/>
      <c r="C367" s="368"/>
      <c r="D367" s="368"/>
      <c r="E367" s="368"/>
      <c r="F367" s="368"/>
      <c r="G367" s="368"/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  <c r="Z367" s="368"/>
      <c r="AA367" s="368"/>
      <c r="AB367" s="368"/>
      <c r="AC367" s="368"/>
      <c r="AD367" s="368"/>
      <c r="AE367" s="368"/>
      <c r="AF367" s="369"/>
      <c r="AG367" s="369"/>
      <c r="AH367" s="368"/>
      <c r="AI367" s="368"/>
    </row>
    <row r="368" spans="1:35" x14ac:dyDescent="0.2">
      <c r="A368" s="368"/>
      <c r="B368" s="368"/>
      <c r="C368" s="368"/>
      <c r="D368" s="368"/>
      <c r="E368" s="368"/>
      <c r="F368" s="368"/>
      <c r="G368" s="368"/>
      <c r="H368" s="368"/>
      <c r="I368" s="368"/>
      <c r="J368" s="368"/>
      <c r="K368" s="368"/>
      <c r="L368" s="368"/>
      <c r="M368" s="368"/>
      <c r="N368" s="368"/>
      <c r="O368" s="368"/>
      <c r="P368" s="368"/>
      <c r="Q368" s="368"/>
      <c r="R368" s="368"/>
      <c r="S368" s="368"/>
      <c r="T368" s="368"/>
      <c r="U368" s="368"/>
      <c r="V368" s="368"/>
      <c r="W368" s="368"/>
      <c r="X368" s="368"/>
      <c r="Y368" s="368"/>
      <c r="Z368" s="368"/>
      <c r="AA368" s="368"/>
      <c r="AB368" s="368"/>
      <c r="AC368" s="368"/>
      <c r="AD368" s="368"/>
      <c r="AE368" s="368"/>
      <c r="AF368" s="369"/>
      <c r="AG368" s="369"/>
      <c r="AH368" s="368"/>
      <c r="AI368" s="368"/>
    </row>
    <row r="369" spans="1:35" x14ac:dyDescent="0.2">
      <c r="A369" s="368"/>
      <c r="B369" s="368"/>
      <c r="C369" s="368"/>
      <c r="D369" s="368"/>
      <c r="E369" s="368"/>
      <c r="F369" s="368"/>
      <c r="G369" s="368"/>
      <c r="H369" s="368"/>
      <c r="I369" s="368"/>
      <c r="J369" s="368"/>
      <c r="K369" s="368"/>
      <c r="L369" s="368"/>
      <c r="M369" s="368"/>
      <c r="N369" s="368"/>
      <c r="O369" s="368"/>
      <c r="P369" s="368"/>
      <c r="Q369" s="368"/>
      <c r="R369" s="368"/>
      <c r="S369" s="368"/>
      <c r="T369" s="368"/>
      <c r="U369" s="368"/>
      <c r="V369" s="368"/>
      <c r="W369" s="368"/>
      <c r="X369" s="368"/>
      <c r="Y369" s="368"/>
      <c r="Z369" s="368"/>
      <c r="AA369" s="368"/>
      <c r="AB369" s="368"/>
      <c r="AC369" s="368"/>
      <c r="AD369" s="368"/>
      <c r="AE369" s="368"/>
      <c r="AF369" s="369"/>
      <c r="AG369" s="369"/>
      <c r="AH369" s="368"/>
      <c r="AI369" s="368"/>
    </row>
    <row r="370" spans="1:35" x14ac:dyDescent="0.2">
      <c r="A370" s="368"/>
      <c r="B370" s="368"/>
      <c r="C370" s="368"/>
      <c r="D370" s="368"/>
      <c r="E370" s="368"/>
      <c r="F370" s="368"/>
      <c r="G370" s="368"/>
      <c r="H370" s="368"/>
      <c r="I370" s="368"/>
      <c r="J370" s="368"/>
      <c r="K370" s="368"/>
      <c r="L370" s="368"/>
      <c r="M370" s="368"/>
      <c r="N370" s="368"/>
      <c r="O370" s="368"/>
      <c r="P370" s="368"/>
      <c r="Q370" s="368"/>
      <c r="R370" s="368"/>
      <c r="S370" s="368"/>
      <c r="T370" s="368"/>
      <c r="U370" s="368"/>
      <c r="V370" s="368"/>
      <c r="W370" s="368"/>
      <c r="X370" s="368"/>
      <c r="Y370" s="368"/>
      <c r="Z370" s="368"/>
      <c r="AA370" s="368"/>
      <c r="AB370" s="368"/>
      <c r="AC370" s="368"/>
      <c r="AD370" s="368"/>
      <c r="AE370" s="368"/>
      <c r="AF370" s="369"/>
      <c r="AG370" s="369"/>
      <c r="AH370" s="368"/>
      <c r="AI370" s="368"/>
    </row>
    <row r="371" spans="1:35" x14ac:dyDescent="0.2">
      <c r="A371" s="368"/>
      <c r="B371" s="368"/>
      <c r="C371" s="368"/>
      <c r="D371" s="368"/>
      <c r="E371" s="368"/>
      <c r="F371" s="368"/>
      <c r="G371" s="368"/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  <c r="Z371" s="368"/>
      <c r="AA371" s="368"/>
      <c r="AB371" s="368"/>
      <c r="AC371" s="368"/>
      <c r="AD371" s="368"/>
      <c r="AE371" s="368"/>
      <c r="AF371" s="369"/>
      <c r="AG371" s="369"/>
      <c r="AH371" s="368"/>
      <c r="AI371" s="368"/>
    </row>
    <row r="372" spans="1:35" x14ac:dyDescent="0.2">
      <c r="A372" s="368"/>
      <c r="B372" s="368"/>
      <c r="C372" s="368"/>
      <c r="D372" s="368"/>
      <c r="E372" s="368"/>
      <c r="F372" s="368"/>
      <c r="G372" s="368"/>
      <c r="H372" s="368"/>
      <c r="I372" s="368"/>
      <c r="J372" s="368"/>
      <c r="K372" s="368"/>
      <c r="L372" s="368"/>
      <c r="M372" s="368"/>
      <c r="N372" s="368"/>
      <c r="O372" s="368"/>
      <c r="P372" s="368"/>
      <c r="Q372" s="368"/>
      <c r="R372" s="368"/>
      <c r="S372" s="368"/>
      <c r="T372" s="368"/>
      <c r="U372" s="368"/>
      <c r="V372" s="368"/>
      <c r="W372" s="368"/>
      <c r="X372" s="368"/>
      <c r="Y372" s="368"/>
      <c r="Z372" s="368"/>
      <c r="AA372" s="368"/>
      <c r="AB372" s="368"/>
      <c r="AC372" s="368"/>
      <c r="AD372" s="368"/>
      <c r="AE372" s="368"/>
      <c r="AF372" s="369"/>
      <c r="AG372" s="369"/>
      <c r="AH372" s="368"/>
      <c r="AI372" s="368"/>
    </row>
    <row r="373" spans="1:35" x14ac:dyDescent="0.2">
      <c r="A373" s="368"/>
      <c r="B373" s="368"/>
      <c r="C373" s="368"/>
      <c r="D373" s="368"/>
      <c r="E373" s="368"/>
      <c r="F373" s="368"/>
      <c r="G373" s="368"/>
      <c r="H373" s="368"/>
      <c r="I373" s="368"/>
      <c r="J373" s="368"/>
      <c r="K373" s="368"/>
      <c r="L373" s="368"/>
      <c r="M373" s="368"/>
      <c r="N373" s="368"/>
      <c r="O373" s="368"/>
      <c r="P373" s="368"/>
      <c r="Q373" s="368"/>
      <c r="R373" s="368"/>
      <c r="S373" s="368"/>
      <c r="T373" s="368"/>
      <c r="U373" s="368"/>
      <c r="V373" s="368"/>
      <c r="W373" s="368"/>
      <c r="X373" s="368"/>
      <c r="Y373" s="368"/>
      <c r="Z373" s="368"/>
      <c r="AA373" s="368"/>
      <c r="AB373" s="368"/>
      <c r="AC373" s="368"/>
      <c r="AD373" s="368"/>
      <c r="AE373" s="368"/>
      <c r="AF373" s="369"/>
      <c r="AG373" s="369"/>
      <c r="AH373" s="368"/>
      <c r="AI373" s="368"/>
    </row>
    <row r="374" spans="1:35" x14ac:dyDescent="0.2">
      <c r="A374" s="368"/>
      <c r="B374" s="368"/>
      <c r="C374" s="368"/>
      <c r="D374" s="368"/>
      <c r="E374" s="368"/>
      <c r="F374" s="368"/>
      <c r="G374" s="368"/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9"/>
      <c r="AG374" s="369"/>
      <c r="AH374" s="368"/>
      <c r="AI374" s="368"/>
    </row>
    <row r="375" spans="1:35" x14ac:dyDescent="0.2">
      <c r="A375" s="368"/>
      <c r="B375" s="368"/>
      <c r="C375" s="368"/>
      <c r="D375" s="368"/>
      <c r="E375" s="368"/>
      <c r="F375" s="368"/>
      <c r="G375" s="368"/>
      <c r="H375" s="368"/>
      <c r="I375" s="368"/>
      <c r="J375" s="368"/>
      <c r="K375" s="368"/>
      <c r="L375" s="368"/>
      <c r="M375" s="368"/>
      <c r="N375" s="368"/>
      <c r="O375" s="368"/>
      <c r="P375" s="368"/>
      <c r="Q375" s="368"/>
      <c r="R375" s="368"/>
      <c r="S375" s="368"/>
      <c r="T375" s="368"/>
      <c r="U375" s="368"/>
      <c r="V375" s="368"/>
      <c r="W375" s="368"/>
      <c r="X375" s="368"/>
      <c r="Y375" s="368"/>
      <c r="Z375" s="368"/>
      <c r="AA375" s="368"/>
      <c r="AB375" s="368"/>
      <c r="AC375" s="368"/>
      <c r="AD375" s="368"/>
      <c r="AE375" s="368"/>
      <c r="AF375" s="369"/>
      <c r="AG375" s="369"/>
      <c r="AH375" s="368"/>
      <c r="AI375" s="368"/>
    </row>
    <row r="376" spans="1:35" x14ac:dyDescent="0.2">
      <c r="A376" s="368"/>
      <c r="B376" s="368"/>
      <c r="C376" s="368"/>
      <c r="D376" s="368"/>
      <c r="E376" s="368"/>
      <c r="F376" s="368"/>
      <c r="G376" s="368"/>
      <c r="H376" s="368"/>
      <c r="I376" s="368"/>
      <c r="J376" s="368"/>
      <c r="K376" s="368"/>
      <c r="L376" s="368"/>
      <c r="M376" s="368"/>
      <c r="N376" s="368"/>
      <c r="O376" s="368"/>
      <c r="P376" s="368"/>
      <c r="Q376" s="368"/>
      <c r="R376" s="368"/>
      <c r="S376" s="368"/>
      <c r="T376" s="368"/>
      <c r="U376" s="368"/>
      <c r="V376" s="368"/>
      <c r="W376" s="368"/>
      <c r="X376" s="368"/>
      <c r="Y376" s="368"/>
      <c r="Z376" s="368"/>
      <c r="AA376" s="368"/>
      <c r="AB376" s="368"/>
      <c r="AC376" s="368"/>
      <c r="AD376" s="368"/>
      <c r="AE376" s="368"/>
      <c r="AF376" s="369"/>
      <c r="AG376" s="369"/>
      <c r="AH376" s="368"/>
      <c r="AI376" s="368"/>
    </row>
    <row r="377" spans="1:35" x14ac:dyDescent="0.2">
      <c r="A377" s="368"/>
      <c r="B377" s="368"/>
      <c r="C377" s="368"/>
      <c r="D377" s="368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  <c r="O377" s="368"/>
      <c r="P377" s="368"/>
      <c r="Q377" s="368"/>
      <c r="R377" s="368"/>
      <c r="S377" s="368"/>
      <c r="T377" s="368"/>
      <c r="U377" s="368"/>
      <c r="V377" s="368"/>
      <c r="W377" s="368"/>
      <c r="X377" s="368"/>
      <c r="Y377" s="368"/>
      <c r="Z377" s="368"/>
      <c r="AA377" s="368"/>
      <c r="AB377" s="368"/>
      <c r="AC377" s="368"/>
      <c r="AD377" s="368"/>
      <c r="AE377" s="368"/>
      <c r="AF377" s="369"/>
      <c r="AG377" s="369"/>
      <c r="AH377" s="368"/>
      <c r="AI377" s="368"/>
    </row>
    <row r="378" spans="1:35" x14ac:dyDescent="0.2">
      <c r="A378" s="368"/>
      <c r="B378" s="368"/>
      <c r="C378" s="368"/>
      <c r="D378" s="368"/>
      <c r="E378" s="368"/>
      <c r="F378" s="368"/>
      <c r="G378" s="368"/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  <c r="Z378" s="368"/>
      <c r="AA378" s="368"/>
      <c r="AB378" s="368"/>
      <c r="AC378" s="368"/>
      <c r="AD378" s="368"/>
      <c r="AE378" s="368"/>
      <c r="AF378" s="369"/>
      <c r="AG378" s="369"/>
      <c r="AH378" s="368"/>
      <c r="AI378" s="368"/>
    </row>
    <row r="379" spans="1:35" x14ac:dyDescent="0.2">
      <c r="A379" s="368"/>
      <c r="B379" s="368"/>
      <c r="C379" s="368"/>
      <c r="D379" s="368"/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9"/>
      <c r="AG379" s="369"/>
      <c r="AH379" s="368"/>
      <c r="AI379" s="368"/>
    </row>
    <row r="380" spans="1:35" x14ac:dyDescent="0.2">
      <c r="A380" s="368"/>
      <c r="B380" s="368"/>
      <c r="C380" s="368"/>
      <c r="D380" s="368"/>
      <c r="E380" s="368"/>
      <c r="F380" s="368"/>
      <c r="G380" s="368"/>
      <c r="H380" s="368"/>
      <c r="I380" s="368"/>
      <c r="J380" s="368"/>
      <c r="K380" s="368"/>
      <c r="L380" s="368"/>
      <c r="M380" s="368"/>
      <c r="N380" s="368"/>
      <c r="O380" s="368"/>
      <c r="P380" s="368"/>
      <c r="Q380" s="368"/>
      <c r="R380" s="368"/>
      <c r="S380" s="368"/>
      <c r="T380" s="368"/>
      <c r="U380" s="368"/>
      <c r="V380" s="368"/>
      <c r="W380" s="368"/>
      <c r="X380" s="368"/>
      <c r="Y380" s="368"/>
      <c r="Z380" s="368"/>
      <c r="AA380" s="368"/>
      <c r="AB380" s="368"/>
      <c r="AC380" s="368"/>
      <c r="AD380" s="368"/>
      <c r="AE380" s="368"/>
      <c r="AF380" s="369"/>
      <c r="AG380" s="369"/>
      <c r="AH380" s="368"/>
      <c r="AI380" s="368"/>
    </row>
    <row r="381" spans="1:35" x14ac:dyDescent="0.2">
      <c r="A381" s="368"/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9"/>
      <c r="AG381" s="369"/>
      <c r="AH381" s="368"/>
      <c r="AI381" s="368"/>
    </row>
    <row r="382" spans="1:35" x14ac:dyDescent="0.2">
      <c r="A382" s="368"/>
      <c r="B382" s="368"/>
      <c r="C382" s="368"/>
      <c r="D382" s="368"/>
      <c r="E382" s="368"/>
      <c r="F382" s="368"/>
      <c r="G382" s="368"/>
      <c r="H382" s="368"/>
      <c r="I382" s="368"/>
      <c r="J382" s="368"/>
      <c r="K382" s="368"/>
      <c r="L382" s="368"/>
      <c r="M382" s="368"/>
      <c r="N382" s="368"/>
      <c r="O382" s="368"/>
      <c r="P382" s="368"/>
      <c r="Q382" s="368"/>
      <c r="R382" s="368"/>
      <c r="S382" s="368"/>
      <c r="T382" s="368"/>
      <c r="U382" s="368"/>
      <c r="V382" s="368"/>
      <c r="W382" s="368"/>
      <c r="X382" s="368"/>
      <c r="Y382" s="368"/>
      <c r="Z382" s="368"/>
      <c r="AA382" s="368"/>
      <c r="AB382" s="368"/>
      <c r="AC382" s="368"/>
      <c r="AD382" s="368"/>
      <c r="AE382" s="368"/>
      <c r="AF382" s="369"/>
      <c r="AG382" s="369"/>
      <c r="AH382" s="368"/>
      <c r="AI382" s="368"/>
    </row>
    <row r="383" spans="1:35" x14ac:dyDescent="0.2">
      <c r="A383" s="368"/>
      <c r="B383" s="368"/>
      <c r="C383" s="368"/>
      <c r="D383" s="368"/>
      <c r="E383" s="368"/>
      <c r="F383" s="368"/>
      <c r="G383" s="368"/>
      <c r="H383" s="368"/>
      <c r="I383" s="368"/>
      <c r="J383" s="368"/>
      <c r="K383" s="368"/>
      <c r="L383" s="368"/>
      <c r="M383" s="368"/>
      <c r="N383" s="368"/>
      <c r="O383" s="368"/>
      <c r="P383" s="368"/>
      <c r="Q383" s="368"/>
      <c r="R383" s="368"/>
      <c r="S383" s="368"/>
      <c r="T383" s="368"/>
      <c r="U383" s="368"/>
      <c r="V383" s="368"/>
      <c r="W383" s="368"/>
      <c r="X383" s="368"/>
      <c r="Y383" s="368"/>
      <c r="Z383" s="368"/>
      <c r="AA383" s="368"/>
      <c r="AB383" s="368"/>
      <c r="AC383" s="368"/>
      <c r="AD383" s="368"/>
      <c r="AE383" s="368"/>
      <c r="AF383" s="369"/>
      <c r="AG383" s="369"/>
      <c r="AH383" s="368"/>
      <c r="AI383" s="368"/>
    </row>
    <row r="384" spans="1:35" x14ac:dyDescent="0.2">
      <c r="A384" s="368"/>
      <c r="B384" s="368"/>
      <c r="C384" s="368"/>
      <c r="D384" s="368"/>
      <c r="E384" s="368"/>
      <c r="F384" s="368"/>
      <c r="G384" s="368"/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8"/>
      <c r="AF384" s="369"/>
      <c r="AG384" s="369"/>
      <c r="AH384" s="368"/>
      <c r="AI384" s="368"/>
    </row>
    <row r="385" spans="1:35" x14ac:dyDescent="0.2">
      <c r="A385" s="368"/>
      <c r="B385" s="368"/>
      <c r="C385" s="368"/>
      <c r="D385" s="368"/>
      <c r="E385" s="368"/>
      <c r="F385" s="368"/>
      <c r="G385" s="368"/>
      <c r="H385" s="368"/>
      <c r="I385" s="368"/>
      <c r="J385" s="368"/>
      <c r="K385" s="368"/>
      <c r="L385" s="368"/>
      <c r="M385" s="368"/>
      <c r="N385" s="368"/>
      <c r="O385" s="368"/>
      <c r="P385" s="368"/>
      <c r="Q385" s="368"/>
      <c r="R385" s="368"/>
      <c r="S385" s="368"/>
      <c r="T385" s="368"/>
      <c r="U385" s="368"/>
      <c r="V385" s="368"/>
      <c r="W385" s="368"/>
      <c r="X385" s="368"/>
      <c r="Y385" s="368"/>
      <c r="Z385" s="368"/>
      <c r="AA385" s="368"/>
      <c r="AB385" s="368"/>
      <c r="AC385" s="368"/>
      <c r="AD385" s="368"/>
      <c r="AE385" s="368"/>
      <c r="AF385" s="369"/>
      <c r="AG385" s="369"/>
      <c r="AH385" s="368"/>
      <c r="AI385" s="368"/>
    </row>
    <row r="386" spans="1:35" x14ac:dyDescent="0.2">
      <c r="A386" s="368"/>
      <c r="B386" s="368"/>
      <c r="C386" s="368"/>
      <c r="D386" s="368"/>
      <c r="E386" s="368"/>
      <c r="F386" s="368"/>
      <c r="G386" s="368"/>
      <c r="H386" s="368"/>
      <c r="I386" s="368"/>
      <c r="J386" s="368"/>
      <c r="K386" s="368"/>
      <c r="L386" s="368"/>
      <c r="M386" s="368"/>
      <c r="N386" s="368"/>
      <c r="O386" s="368"/>
      <c r="P386" s="368"/>
      <c r="Q386" s="368"/>
      <c r="R386" s="368"/>
      <c r="S386" s="368"/>
      <c r="T386" s="368"/>
      <c r="U386" s="368"/>
      <c r="V386" s="368"/>
      <c r="W386" s="368"/>
      <c r="X386" s="368"/>
      <c r="Y386" s="368"/>
      <c r="Z386" s="368"/>
      <c r="AA386" s="368"/>
      <c r="AB386" s="368"/>
      <c r="AC386" s="368"/>
      <c r="AD386" s="368"/>
      <c r="AE386" s="368"/>
      <c r="AF386" s="369"/>
      <c r="AG386" s="369"/>
      <c r="AH386" s="368"/>
      <c r="AI386" s="368"/>
    </row>
    <row r="387" spans="1:35" x14ac:dyDescent="0.2">
      <c r="A387" s="368"/>
      <c r="B387" s="368"/>
      <c r="C387" s="368"/>
      <c r="D387" s="368"/>
      <c r="E387" s="368"/>
      <c r="F387" s="368"/>
      <c r="G387" s="368"/>
      <c r="H387" s="368"/>
      <c r="I387" s="368"/>
      <c r="J387" s="368"/>
      <c r="K387" s="368"/>
      <c r="L387" s="368"/>
      <c r="M387" s="368"/>
      <c r="N387" s="368"/>
      <c r="O387" s="368"/>
      <c r="P387" s="368"/>
      <c r="Q387" s="368"/>
      <c r="R387" s="368"/>
      <c r="S387" s="368"/>
      <c r="T387" s="368"/>
      <c r="U387" s="368"/>
      <c r="V387" s="368"/>
      <c r="W387" s="368"/>
      <c r="X387" s="368"/>
      <c r="Y387" s="368"/>
      <c r="Z387" s="368"/>
      <c r="AA387" s="368"/>
      <c r="AB387" s="368"/>
      <c r="AC387" s="368"/>
      <c r="AD387" s="368"/>
      <c r="AE387" s="368"/>
      <c r="AF387" s="369"/>
      <c r="AG387" s="369"/>
      <c r="AH387" s="368"/>
      <c r="AI387" s="368"/>
    </row>
    <row r="388" spans="1:35" x14ac:dyDescent="0.2">
      <c r="A388" s="368"/>
      <c r="B388" s="368"/>
      <c r="C388" s="368"/>
      <c r="D388" s="368"/>
      <c r="E388" s="368"/>
      <c r="F388" s="368"/>
      <c r="G388" s="368"/>
      <c r="H388" s="368"/>
      <c r="I388" s="368"/>
      <c r="J388" s="368"/>
      <c r="K388" s="368"/>
      <c r="L388" s="368"/>
      <c r="M388" s="368"/>
      <c r="N388" s="368"/>
      <c r="O388" s="368"/>
      <c r="P388" s="368"/>
      <c r="Q388" s="368"/>
      <c r="R388" s="368"/>
      <c r="S388" s="368"/>
      <c r="T388" s="368"/>
      <c r="U388" s="368"/>
      <c r="V388" s="368"/>
      <c r="W388" s="368"/>
      <c r="X388" s="368"/>
      <c r="Y388" s="368"/>
      <c r="Z388" s="368"/>
      <c r="AA388" s="368"/>
      <c r="AB388" s="368"/>
      <c r="AC388" s="368"/>
      <c r="AD388" s="368"/>
      <c r="AE388" s="368"/>
      <c r="AF388" s="369"/>
      <c r="AG388" s="369"/>
      <c r="AH388" s="368"/>
      <c r="AI388" s="368"/>
    </row>
    <row r="389" spans="1:35" x14ac:dyDescent="0.2">
      <c r="A389" s="368"/>
      <c r="B389" s="368"/>
      <c r="C389" s="368"/>
      <c r="D389" s="368"/>
      <c r="E389" s="368"/>
      <c r="F389" s="368"/>
      <c r="G389" s="368"/>
      <c r="H389" s="368"/>
      <c r="I389" s="368"/>
      <c r="J389" s="368"/>
      <c r="K389" s="368"/>
      <c r="L389" s="368"/>
      <c r="M389" s="368"/>
      <c r="N389" s="368"/>
      <c r="O389" s="368"/>
      <c r="P389" s="368"/>
      <c r="Q389" s="368"/>
      <c r="R389" s="368"/>
      <c r="S389" s="368"/>
      <c r="T389" s="368"/>
      <c r="U389" s="368"/>
      <c r="V389" s="368"/>
      <c r="W389" s="368"/>
      <c r="X389" s="368"/>
      <c r="Y389" s="368"/>
      <c r="Z389" s="368"/>
      <c r="AA389" s="368"/>
      <c r="AB389" s="368"/>
      <c r="AC389" s="368"/>
      <c r="AD389" s="368"/>
      <c r="AE389" s="368"/>
      <c r="AF389" s="369"/>
      <c r="AG389" s="369"/>
      <c r="AH389" s="368"/>
      <c r="AI389" s="368"/>
    </row>
    <row r="390" spans="1:35" x14ac:dyDescent="0.2">
      <c r="A390" s="368"/>
      <c r="B390" s="368"/>
      <c r="C390" s="368"/>
      <c r="D390" s="368"/>
      <c r="E390" s="368"/>
      <c r="F390" s="368"/>
      <c r="G390" s="368"/>
      <c r="H390" s="368"/>
      <c r="I390" s="368"/>
      <c r="J390" s="368"/>
      <c r="K390" s="368"/>
      <c r="L390" s="368"/>
      <c r="M390" s="368"/>
      <c r="N390" s="368"/>
      <c r="O390" s="368"/>
      <c r="P390" s="368"/>
      <c r="Q390" s="368"/>
      <c r="R390" s="368"/>
      <c r="S390" s="368"/>
      <c r="T390" s="368"/>
      <c r="U390" s="368"/>
      <c r="V390" s="368"/>
      <c r="W390" s="368"/>
      <c r="X390" s="368"/>
      <c r="Y390" s="368"/>
      <c r="Z390" s="368"/>
      <c r="AA390" s="368"/>
      <c r="AB390" s="368"/>
      <c r="AC390" s="368"/>
      <c r="AD390" s="368"/>
      <c r="AE390" s="368"/>
      <c r="AF390" s="369"/>
      <c r="AG390" s="369"/>
      <c r="AH390" s="368"/>
      <c r="AI390" s="368"/>
    </row>
    <row r="391" spans="1:35" x14ac:dyDescent="0.2">
      <c r="A391" s="368"/>
      <c r="B391" s="368"/>
      <c r="C391" s="368"/>
      <c r="D391" s="368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  <c r="Z391" s="368"/>
      <c r="AA391" s="368"/>
      <c r="AB391" s="368"/>
      <c r="AC391" s="368"/>
      <c r="AD391" s="368"/>
      <c r="AE391" s="368"/>
      <c r="AF391" s="369"/>
      <c r="AG391" s="369"/>
      <c r="AH391" s="368"/>
      <c r="AI391" s="368"/>
    </row>
    <row r="392" spans="1:35" x14ac:dyDescent="0.2">
      <c r="A392" s="368"/>
      <c r="B392" s="368"/>
      <c r="C392" s="368"/>
      <c r="D392" s="368"/>
      <c r="E392" s="368"/>
      <c r="F392" s="368"/>
      <c r="G392" s="368"/>
      <c r="H392" s="368"/>
      <c r="I392" s="368"/>
      <c r="J392" s="368"/>
      <c r="K392" s="368"/>
      <c r="L392" s="368"/>
      <c r="M392" s="368"/>
      <c r="N392" s="368"/>
      <c r="O392" s="368"/>
      <c r="P392" s="368"/>
      <c r="Q392" s="368"/>
      <c r="R392" s="368"/>
      <c r="S392" s="368"/>
      <c r="T392" s="368"/>
      <c r="U392" s="368"/>
      <c r="V392" s="368"/>
      <c r="W392" s="368"/>
      <c r="X392" s="368"/>
      <c r="Y392" s="368"/>
      <c r="Z392" s="368"/>
      <c r="AA392" s="368"/>
      <c r="AB392" s="368"/>
      <c r="AC392" s="368"/>
      <c r="AD392" s="368"/>
      <c r="AE392" s="368"/>
      <c r="AF392" s="369"/>
      <c r="AG392" s="369"/>
      <c r="AH392" s="368"/>
      <c r="AI392" s="368"/>
    </row>
    <row r="393" spans="1:35" x14ac:dyDescent="0.2">
      <c r="A393" s="368"/>
      <c r="B393" s="368"/>
      <c r="C393" s="368"/>
      <c r="D393" s="368"/>
      <c r="E393" s="368"/>
      <c r="F393" s="368"/>
      <c r="G393" s="368"/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  <c r="Z393" s="368"/>
      <c r="AA393" s="368"/>
      <c r="AB393" s="368"/>
      <c r="AC393" s="368"/>
      <c r="AD393" s="368"/>
      <c r="AE393" s="368"/>
      <c r="AF393" s="369"/>
      <c r="AG393" s="369"/>
      <c r="AH393" s="368"/>
      <c r="AI393" s="368"/>
    </row>
    <row r="394" spans="1:35" x14ac:dyDescent="0.2">
      <c r="A394" s="368"/>
      <c r="B394" s="368"/>
      <c r="C394" s="368"/>
      <c r="D394" s="368"/>
      <c r="E394" s="368"/>
      <c r="F394" s="368"/>
      <c r="G394" s="368"/>
      <c r="H394" s="368"/>
      <c r="I394" s="368"/>
      <c r="J394" s="368"/>
      <c r="K394" s="368"/>
      <c r="L394" s="368"/>
      <c r="M394" s="368"/>
      <c r="N394" s="368"/>
      <c r="O394" s="368"/>
      <c r="P394" s="368"/>
      <c r="Q394" s="368"/>
      <c r="R394" s="368"/>
      <c r="S394" s="368"/>
      <c r="T394" s="368"/>
      <c r="U394" s="368"/>
      <c r="V394" s="368"/>
      <c r="W394" s="368"/>
      <c r="X394" s="368"/>
      <c r="Y394" s="368"/>
      <c r="Z394" s="368"/>
      <c r="AA394" s="368"/>
      <c r="AB394" s="368"/>
      <c r="AC394" s="368"/>
      <c r="AD394" s="368"/>
      <c r="AE394" s="368"/>
      <c r="AF394" s="369"/>
      <c r="AG394" s="369"/>
      <c r="AH394" s="368"/>
      <c r="AI394" s="368"/>
    </row>
    <row r="395" spans="1:35" x14ac:dyDescent="0.2">
      <c r="A395" s="368"/>
      <c r="B395" s="368"/>
      <c r="C395" s="368"/>
      <c r="D395" s="368"/>
      <c r="E395" s="368"/>
      <c r="F395" s="368"/>
      <c r="G395" s="368"/>
      <c r="H395" s="368"/>
      <c r="I395" s="368"/>
      <c r="J395" s="368"/>
      <c r="K395" s="368"/>
      <c r="L395" s="368"/>
      <c r="M395" s="368"/>
      <c r="N395" s="368"/>
      <c r="O395" s="368"/>
      <c r="P395" s="368"/>
      <c r="Q395" s="368"/>
      <c r="R395" s="368"/>
      <c r="S395" s="368"/>
      <c r="T395" s="368"/>
      <c r="U395" s="368"/>
      <c r="V395" s="368"/>
      <c r="W395" s="368"/>
      <c r="X395" s="368"/>
      <c r="Y395" s="368"/>
      <c r="Z395" s="368"/>
      <c r="AA395" s="368"/>
      <c r="AB395" s="368"/>
      <c r="AC395" s="368"/>
      <c r="AD395" s="368"/>
      <c r="AE395" s="368"/>
      <c r="AF395" s="369"/>
      <c r="AG395" s="369"/>
      <c r="AH395" s="368"/>
      <c r="AI395" s="368"/>
    </row>
    <row r="396" spans="1:35" x14ac:dyDescent="0.2">
      <c r="A396" s="368"/>
      <c r="B396" s="368"/>
      <c r="C396" s="368"/>
      <c r="D396" s="368"/>
      <c r="E396" s="368"/>
      <c r="F396" s="368"/>
      <c r="G396" s="368"/>
      <c r="H396" s="368"/>
      <c r="I396" s="368"/>
      <c r="J396" s="368"/>
      <c r="K396" s="368"/>
      <c r="L396" s="368"/>
      <c r="M396" s="368"/>
      <c r="N396" s="368"/>
      <c r="O396" s="368"/>
      <c r="P396" s="368"/>
      <c r="Q396" s="368"/>
      <c r="R396" s="368"/>
      <c r="S396" s="368"/>
      <c r="T396" s="368"/>
      <c r="U396" s="368"/>
      <c r="V396" s="368"/>
      <c r="W396" s="368"/>
      <c r="X396" s="368"/>
      <c r="Y396" s="368"/>
      <c r="Z396" s="368"/>
      <c r="AA396" s="368"/>
      <c r="AB396" s="368"/>
      <c r="AC396" s="368"/>
      <c r="AD396" s="368"/>
      <c r="AE396" s="368"/>
      <c r="AF396" s="369"/>
      <c r="AG396" s="369"/>
      <c r="AH396" s="368"/>
      <c r="AI396" s="368"/>
    </row>
    <row r="397" spans="1:35" x14ac:dyDescent="0.2">
      <c r="A397" s="368"/>
      <c r="B397" s="368"/>
      <c r="C397" s="368"/>
      <c r="D397" s="368"/>
      <c r="E397" s="368"/>
      <c r="F397" s="368"/>
      <c r="G397" s="368"/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  <c r="Z397" s="368"/>
      <c r="AA397" s="368"/>
      <c r="AB397" s="368"/>
      <c r="AC397" s="368"/>
      <c r="AD397" s="368"/>
      <c r="AE397" s="368"/>
      <c r="AF397" s="369"/>
      <c r="AG397" s="369"/>
      <c r="AH397" s="368"/>
      <c r="AI397" s="368"/>
    </row>
    <row r="398" spans="1:35" x14ac:dyDescent="0.2">
      <c r="A398" s="368"/>
      <c r="B398" s="368"/>
      <c r="C398" s="368"/>
      <c r="D398" s="368"/>
      <c r="E398" s="368"/>
      <c r="F398" s="368"/>
      <c r="G398" s="368"/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  <c r="Z398" s="368"/>
      <c r="AA398" s="368"/>
      <c r="AB398" s="368"/>
      <c r="AC398" s="368"/>
      <c r="AD398" s="368"/>
      <c r="AE398" s="368"/>
      <c r="AF398" s="369"/>
      <c r="AG398" s="369"/>
      <c r="AH398" s="368"/>
      <c r="AI398" s="368"/>
    </row>
    <row r="399" spans="1:35" x14ac:dyDescent="0.2">
      <c r="A399" s="368"/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8"/>
      <c r="AA399" s="368"/>
      <c r="AB399" s="368"/>
      <c r="AC399" s="368"/>
      <c r="AD399" s="368"/>
      <c r="AE399" s="368"/>
      <c r="AF399" s="369"/>
      <c r="AG399" s="369"/>
      <c r="AH399" s="368"/>
      <c r="AI399" s="368"/>
    </row>
    <row r="400" spans="1:35" x14ac:dyDescent="0.2">
      <c r="A400" s="368"/>
      <c r="B400" s="368"/>
      <c r="C400" s="368"/>
      <c r="D400" s="368"/>
      <c r="E400" s="368"/>
      <c r="F400" s="368"/>
      <c r="G400" s="368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  <c r="Z400" s="368"/>
      <c r="AA400" s="368"/>
      <c r="AB400" s="368"/>
      <c r="AC400" s="368"/>
      <c r="AD400" s="368"/>
      <c r="AE400" s="368"/>
      <c r="AF400" s="369"/>
      <c r="AG400" s="369"/>
      <c r="AH400" s="368"/>
      <c r="AI400" s="368"/>
    </row>
    <row r="401" spans="1:35" x14ac:dyDescent="0.2">
      <c r="A401" s="368"/>
      <c r="B401" s="368"/>
      <c r="C401" s="368"/>
      <c r="D401" s="368"/>
      <c r="E401" s="368"/>
      <c r="F401" s="368"/>
      <c r="G401" s="368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  <c r="Z401" s="368"/>
      <c r="AA401" s="368"/>
      <c r="AB401" s="368"/>
      <c r="AC401" s="368"/>
      <c r="AD401" s="368"/>
      <c r="AE401" s="368"/>
      <c r="AF401" s="369"/>
      <c r="AG401" s="369"/>
      <c r="AH401" s="368"/>
      <c r="AI401" s="368"/>
    </row>
    <row r="402" spans="1:35" x14ac:dyDescent="0.2">
      <c r="A402" s="368"/>
      <c r="B402" s="368"/>
      <c r="C402" s="368"/>
      <c r="D402" s="368"/>
      <c r="E402" s="368"/>
      <c r="F402" s="368"/>
      <c r="G402" s="368"/>
      <c r="H402" s="368"/>
      <c r="I402" s="368"/>
      <c r="J402" s="368"/>
      <c r="K402" s="368"/>
      <c r="L402" s="368"/>
      <c r="M402" s="368"/>
      <c r="N402" s="368"/>
      <c r="O402" s="368"/>
      <c r="P402" s="368"/>
      <c r="Q402" s="368"/>
      <c r="R402" s="368"/>
      <c r="S402" s="368"/>
      <c r="T402" s="368"/>
      <c r="U402" s="368"/>
      <c r="V402" s="368"/>
      <c r="W402" s="368"/>
      <c r="X402" s="368"/>
      <c r="Y402" s="368"/>
      <c r="Z402" s="368"/>
      <c r="AA402" s="368"/>
      <c r="AB402" s="368"/>
      <c r="AC402" s="368"/>
      <c r="AD402" s="368"/>
      <c r="AE402" s="368"/>
      <c r="AF402" s="369"/>
      <c r="AG402" s="369"/>
      <c r="AH402" s="368"/>
      <c r="AI402" s="368"/>
    </row>
    <row r="403" spans="1:35" x14ac:dyDescent="0.2">
      <c r="A403" s="368"/>
      <c r="B403" s="368"/>
      <c r="C403" s="368"/>
      <c r="D403" s="368"/>
      <c r="E403" s="368"/>
      <c r="F403" s="368"/>
      <c r="G403" s="368"/>
      <c r="H403" s="368"/>
      <c r="I403" s="368"/>
      <c r="J403" s="368"/>
      <c r="K403" s="368"/>
      <c r="L403" s="368"/>
      <c r="M403" s="368"/>
      <c r="N403" s="368"/>
      <c r="O403" s="368"/>
      <c r="P403" s="368"/>
      <c r="Q403" s="368"/>
      <c r="R403" s="368"/>
      <c r="S403" s="368"/>
      <c r="T403" s="368"/>
      <c r="U403" s="368"/>
      <c r="V403" s="368"/>
      <c r="W403" s="368"/>
      <c r="X403" s="368"/>
      <c r="Y403" s="368"/>
      <c r="Z403" s="368"/>
      <c r="AA403" s="368"/>
      <c r="AB403" s="368"/>
      <c r="AC403" s="368"/>
      <c r="AD403" s="368"/>
      <c r="AE403" s="368"/>
      <c r="AF403" s="369"/>
      <c r="AG403" s="369"/>
      <c r="AH403" s="368"/>
      <c r="AI403" s="368"/>
    </row>
    <row r="404" spans="1:35" x14ac:dyDescent="0.2">
      <c r="A404" s="368"/>
      <c r="B404" s="368"/>
      <c r="C404" s="368"/>
      <c r="D404" s="368"/>
      <c r="E404" s="368"/>
      <c r="F404" s="368"/>
      <c r="G404" s="368"/>
      <c r="H404" s="368"/>
      <c r="I404" s="368"/>
      <c r="J404" s="368"/>
      <c r="K404" s="368"/>
      <c r="L404" s="368"/>
      <c r="M404" s="368"/>
      <c r="N404" s="368"/>
      <c r="O404" s="368"/>
      <c r="P404" s="368"/>
      <c r="Q404" s="368"/>
      <c r="R404" s="368"/>
      <c r="S404" s="368"/>
      <c r="T404" s="368"/>
      <c r="U404" s="368"/>
      <c r="V404" s="368"/>
      <c r="W404" s="368"/>
      <c r="X404" s="368"/>
      <c r="Y404" s="368"/>
      <c r="Z404" s="368"/>
      <c r="AA404" s="368"/>
      <c r="AB404" s="368"/>
      <c r="AC404" s="368"/>
      <c r="AD404" s="368"/>
      <c r="AE404" s="368"/>
      <c r="AF404" s="369"/>
      <c r="AG404" s="369"/>
      <c r="AH404" s="368"/>
      <c r="AI404" s="368"/>
    </row>
    <row r="405" spans="1:35" x14ac:dyDescent="0.2">
      <c r="A405" s="368"/>
      <c r="B405" s="368"/>
      <c r="C405" s="368"/>
      <c r="D405" s="368"/>
      <c r="E405" s="368"/>
      <c r="F405" s="368"/>
      <c r="G405" s="368"/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  <c r="Z405" s="368"/>
      <c r="AA405" s="368"/>
      <c r="AB405" s="368"/>
      <c r="AC405" s="368"/>
      <c r="AD405" s="368"/>
      <c r="AE405" s="368"/>
      <c r="AF405" s="369"/>
      <c r="AG405" s="369"/>
      <c r="AH405" s="368"/>
      <c r="AI405" s="368"/>
    </row>
    <row r="406" spans="1:35" x14ac:dyDescent="0.2">
      <c r="A406" s="368"/>
      <c r="B406" s="368"/>
      <c r="C406" s="368"/>
      <c r="D406" s="368"/>
      <c r="E406" s="368"/>
      <c r="F406" s="368"/>
      <c r="G406" s="368"/>
      <c r="H406" s="368"/>
      <c r="I406" s="368"/>
      <c r="J406" s="368"/>
      <c r="K406" s="368"/>
      <c r="L406" s="368"/>
      <c r="M406" s="368"/>
      <c r="N406" s="368"/>
      <c r="O406" s="368"/>
      <c r="P406" s="368"/>
      <c r="Q406" s="368"/>
      <c r="R406" s="368"/>
      <c r="S406" s="368"/>
      <c r="T406" s="368"/>
      <c r="U406" s="368"/>
      <c r="V406" s="368"/>
      <c r="W406" s="368"/>
      <c r="X406" s="368"/>
      <c r="Y406" s="368"/>
      <c r="Z406" s="368"/>
      <c r="AA406" s="368"/>
      <c r="AB406" s="368"/>
      <c r="AC406" s="368"/>
      <c r="AD406" s="368"/>
      <c r="AE406" s="368"/>
      <c r="AF406" s="369"/>
      <c r="AG406" s="369"/>
      <c r="AH406" s="368"/>
      <c r="AI406" s="368"/>
    </row>
    <row r="407" spans="1:35" x14ac:dyDescent="0.2">
      <c r="A407" s="368"/>
      <c r="B407" s="368"/>
      <c r="C407" s="368"/>
      <c r="D407" s="368"/>
      <c r="E407" s="368"/>
      <c r="F407" s="368"/>
      <c r="G407" s="368"/>
      <c r="H407" s="368"/>
      <c r="I407" s="368"/>
      <c r="J407" s="368"/>
      <c r="K407" s="368"/>
      <c r="L407" s="368"/>
      <c r="M407" s="368"/>
      <c r="N407" s="368"/>
      <c r="O407" s="368"/>
      <c r="P407" s="368"/>
      <c r="Q407" s="368"/>
      <c r="R407" s="368"/>
      <c r="S407" s="368"/>
      <c r="T407" s="368"/>
      <c r="U407" s="368"/>
      <c r="V407" s="368"/>
      <c r="W407" s="368"/>
      <c r="X407" s="368"/>
      <c r="Y407" s="368"/>
      <c r="Z407" s="368"/>
      <c r="AA407" s="368"/>
      <c r="AB407" s="368"/>
      <c r="AC407" s="368"/>
      <c r="AD407" s="368"/>
      <c r="AE407" s="368"/>
      <c r="AF407" s="369"/>
      <c r="AG407" s="369"/>
      <c r="AH407" s="368"/>
      <c r="AI407" s="368"/>
    </row>
    <row r="408" spans="1:35" x14ac:dyDescent="0.2">
      <c r="A408" s="368"/>
      <c r="B408" s="368"/>
      <c r="C408" s="368"/>
      <c r="D408" s="368"/>
      <c r="E408" s="368"/>
      <c r="F408" s="368"/>
      <c r="G408" s="368"/>
      <c r="H408" s="368"/>
      <c r="I408" s="368"/>
      <c r="J408" s="368"/>
      <c r="K408" s="368"/>
      <c r="L408" s="368"/>
      <c r="M408" s="368"/>
      <c r="N408" s="368"/>
      <c r="O408" s="368"/>
      <c r="P408" s="368"/>
      <c r="Q408" s="368"/>
      <c r="R408" s="368"/>
      <c r="S408" s="368"/>
      <c r="T408" s="368"/>
      <c r="U408" s="368"/>
      <c r="V408" s="368"/>
      <c r="W408" s="368"/>
      <c r="X408" s="368"/>
      <c r="Y408" s="368"/>
      <c r="Z408" s="368"/>
      <c r="AA408" s="368"/>
      <c r="AB408" s="368"/>
      <c r="AC408" s="368"/>
      <c r="AD408" s="368"/>
      <c r="AE408" s="368"/>
      <c r="AF408" s="369"/>
      <c r="AG408" s="369"/>
      <c r="AH408" s="368"/>
      <c r="AI408" s="368"/>
    </row>
    <row r="409" spans="1:35" x14ac:dyDescent="0.2">
      <c r="A409" s="368"/>
      <c r="B409" s="368"/>
      <c r="C409" s="368"/>
      <c r="D409" s="368"/>
      <c r="E409" s="368"/>
      <c r="F409" s="368"/>
      <c r="G409" s="368"/>
      <c r="H409" s="368"/>
      <c r="I409" s="368"/>
      <c r="J409" s="368"/>
      <c r="K409" s="368"/>
      <c r="L409" s="368"/>
      <c r="M409" s="368"/>
      <c r="N409" s="368"/>
      <c r="O409" s="368"/>
      <c r="P409" s="368"/>
      <c r="Q409" s="368"/>
      <c r="R409" s="368"/>
      <c r="S409" s="368"/>
      <c r="T409" s="368"/>
      <c r="U409" s="368"/>
      <c r="V409" s="368"/>
      <c r="W409" s="368"/>
      <c r="X409" s="368"/>
      <c r="Y409" s="368"/>
      <c r="Z409" s="368"/>
      <c r="AA409" s="368"/>
      <c r="AB409" s="368"/>
      <c r="AC409" s="368"/>
      <c r="AD409" s="368"/>
      <c r="AE409" s="368"/>
      <c r="AF409" s="369"/>
      <c r="AG409" s="369"/>
      <c r="AH409" s="368"/>
      <c r="AI409" s="368"/>
    </row>
    <row r="410" spans="1:35" x14ac:dyDescent="0.2">
      <c r="A410" s="368"/>
      <c r="B410" s="368"/>
      <c r="C410" s="368"/>
      <c r="D410" s="368"/>
      <c r="E410" s="368"/>
      <c r="F410" s="368"/>
      <c r="G410" s="368"/>
      <c r="H410" s="368"/>
      <c r="I410" s="368"/>
      <c r="J410" s="368"/>
      <c r="K410" s="368"/>
      <c r="L410" s="368"/>
      <c r="M410" s="368"/>
      <c r="N410" s="368"/>
      <c r="O410" s="368"/>
      <c r="P410" s="368"/>
      <c r="Q410" s="368"/>
      <c r="R410" s="368"/>
      <c r="S410" s="368"/>
      <c r="T410" s="368"/>
      <c r="U410" s="368"/>
      <c r="V410" s="368"/>
      <c r="W410" s="368"/>
      <c r="X410" s="368"/>
      <c r="Y410" s="368"/>
      <c r="Z410" s="368"/>
      <c r="AA410" s="368"/>
      <c r="AB410" s="368"/>
      <c r="AC410" s="368"/>
      <c r="AD410" s="368"/>
      <c r="AE410" s="368"/>
      <c r="AF410" s="369"/>
      <c r="AG410" s="369"/>
      <c r="AH410" s="368"/>
      <c r="AI410" s="368"/>
    </row>
    <row r="411" spans="1:35" x14ac:dyDescent="0.2">
      <c r="A411" s="368"/>
      <c r="B411" s="368"/>
      <c r="C411" s="368"/>
      <c r="D411" s="368"/>
      <c r="E411" s="368"/>
      <c r="F411" s="368"/>
      <c r="G411" s="368"/>
      <c r="H411" s="368"/>
      <c r="I411" s="368"/>
      <c r="J411" s="368"/>
      <c r="K411" s="368"/>
      <c r="L411" s="368"/>
      <c r="M411" s="368"/>
      <c r="N411" s="368"/>
      <c r="O411" s="368"/>
      <c r="P411" s="368"/>
      <c r="Q411" s="368"/>
      <c r="R411" s="368"/>
      <c r="S411" s="368"/>
      <c r="T411" s="368"/>
      <c r="U411" s="368"/>
      <c r="V411" s="368"/>
      <c r="W411" s="368"/>
      <c r="X411" s="368"/>
      <c r="Y411" s="368"/>
      <c r="Z411" s="368"/>
      <c r="AA411" s="368"/>
      <c r="AB411" s="368"/>
      <c r="AC411" s="368"/>
      <c r="AD411" s="368"/>
      <c r="AE411" s="368"/>
      <c r="AF411" s="369"/>
      <c r="AG411" s="369"/>
      <c r="AH411" s="368"/>
      <c r="AI411" s="368"/>
    </row>
    <row r="412" spans="1:35" x14ac:dyDescent="0.2">
      <c r="A412" s="368"/>
      <c r="B412" s="368"/>
      <c r="C412" s="368"/>
      <c r="D412" s="368"/>
      <c r="E412" s="368"/>
      <c r="F412" s="368"/>
      <c r="G412" s="368"/>
      <c r="H412" s="368"/>
      <c r="I412" s="368"/>
      <c r="J412" s="368"/>
      <c r="K412" s="368"/>
      <c r="L412" s="368"/>
      <c r="M412" s="368"/>
      <c r="N412" s="368"/>
      <c r="O412" s="368"/>
      <c r="P412" s="368"/>
      <c r="Q412" s="368"/>
      <c r="R412" s="368"/>
      <c r="S412" s="368"/>
      <c r="T412" s="368"/>
      <c r="U412" s="368"/>
      <c r="V412" s="368"/>
      <c r="W412" s="368"/>
      <c r="X412" s="368"/>
      <c r="Y412" s="368"/>
      <c r="Z412" s="368"/>
      <c r="AA412" s="368"/>
      <c r="AB412" s="368"/>
      <c r="AC412" s="368"/>
      <c r="AD412" s="368"/>
      <c r="AE412" s="368"/>
      <c r="AF412" s="369"/>
      <c r="AG412" s="369"/>
      <c r="AH412" s="368"/>
      <c r="AI412" s="368"/>
    </row>
    <row r="413" spans="1:35" x14ac:dyDescent="0.2">
      <c r="A413" s="368"/>
      <c r="B413" s="368"/>
      <c r="C413" s="368"/>
      <c r="D413" s="368"/>
      <c r="E413" s="368"/>
      <c r="F413" s="368"/>
      <c r="G413" s="368"/>
      <c r="H413" s="368"/>
      <c r="I413" s="368"/>
      <c r="J413" s="368"/>
      <c r="K413" s="368"/>
      <c r="L413" s="368"/>
      <c r="M413" s="368"/>
      <c r="N413" s="368"/>
      <c r="O413" s="368"/>
      <c r="P413" s="368"/>
      <c r="Q413" s="368"/>
      <c r="R413" s="368"/>
      <c r="S413" s="368"/>
      <c r="T413" s="368"/>
      <c r="U413" s="368"/>
      <c r="V413" s="368"/>
      <c r="W413" s="368"/>
      <c r="X413" s="368"/>
      <c r="Y413" s="368"/>
      <c r="Z413" s="368"/>
      <c r="AA413" s="368"/>
      <c r="AB413" s="368"/>
      <c r="AC413" s="368"/>
      <c r="AD413" s="368"/>
      <c r="AE413" s="368"/>
      <c r="AF413" s="369"/>
      <c r="AG413" s="369"/>
      <c r="AH413" s="368"/>
      <c r="AI413" s="368"/>
    </row>
    <row r="414" spans="1:35" x14ac:dyDescent="0.2">
      <c r="A414" s="368"/>
      <c r="B414" s="368"/>
      <c r="C414" s="368"/>
      <c r="D414" s="368"/>
      <c r="E414" s="368"/>
      <c r="F414" s="368"/>
      <c r="G414" s="368"/>
      <c r="H414" s="368"/>
      <c r="I414" s="368"/>
      <c r="J414" s="368"/>
      <c r="K414" s="368"/>
      <c r="L414" s="368"/>
      <c r="M414" s="368"/>
      <c r="N414" s="368"/>
      <c r="O414" s="368"/>
      <c r="P414" s="368"/>
      <c r="Q414" s="368"/>
      <c r="R414" s="368"/>
      <c r="S414" s="368"/>
      <c r="T414" s="368"/>
      <c r="U414" s="368"/>
      <c r="V414" s="368"/>
      <c r="W414" s="368"/>
      <c r="X414" s="368"/>
      <c r="Y414" s="368"/>
      <c r="Z414" s="368"/>
      <c r="AA414" s="368"/>
      <c r="AB414" s="368"/>
      <c r="AC414" s="368"/>
      <c r="AD414" s="368"/>
      <c r="AE414" s="368"/>
      <c r="AF414" s="369"/>
      <c r="AG414" s="369"/>
      <c r="AH414" s="368"/>
      <c r="AI414" s="368"/>
    </row>
    <row r="415" spans="1:35" x14ac:dyDescent="0.2">
      <c r="A415" s="368"/>
      <c r="B415" s="368"/>
      <c r="C415" s="368"/>
      <c r="D415" s="368"/>
      <c r="E415" s="368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  <c r="Z415" s="368"/>
      <c r="AA415" s="368"/>
      <c r="AB415" s="368"/>
      <c r="AC415" s="368"/>
      <c r="AD415" s="368"/>
      <c r="AE415" s="368"/>
      <c r="AF415" s="369"/>
      <c r="AG415" s="369"/>
      <c r="AH415" s="368"/>
      <c r="AI415" s="368"/>
    </row>
    <row r="416" spans="1:35" x14ac:dyDescent="0.2">
      <c r="A416" s="368"/>
      <c r="B416" s="368"/>
      <c r="C416" s="368"/>
      <c r="D416" s="368"/>
      <c r="E416" s="368"/>
      <c r="F416" s="368"/>
      <c r="G416" s="368"/>
      <c r="H416" s="368"/>
      <c r="I416" s="368"/>
      <c r="J416" s="368"/>
      <c r="K416" s="368"/>
      <c r="L416" s="368"/>
      <c r="M416" s="368"/>
      <c r="N416" s="368"/>
      <c r="O416" s="368"/>
      <c r="P416" s="368"/>
      <c r="Q416" s="368"/>
      <c r="R416" s="368"/>
      <c r="S416" s="368"/>
      <c r="T416" s="368"/>
      <c r="U416" s="368"/>
      <c r="V416" s="368"/>
      <c r="W416" s="368"/>
      <c r="X416" s="368"/>
      <c r="Y416" s="368"/>
      <c r="Z416" s="368"/>
      <c r="AA416" s="368"/>
      <c r="AB416" s="368"/>
      <c r="AC416" s="368"/>
      <c r="AD416" s="368"/>
      <c r="AE416" s="368"/>
      <c r="AF416" s="369"/>
      <c r="AG416" s="369"/>
      <c r="AH416" s="368"/>
      <c r="AI416" s="368"/>
    </row>
    <row r="417" spans="1:35" x14ac:dyDescent="0.2">
      <c r="A417" s="368"/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8"/>
      <c r="M417" s="368"/>
      <c r="N417" s="368"/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8"/>
      <c r="AA417" s="368"/>
      <c r="AB417" s="368"/>
      <c r="AC417" s="368"/>
      <c r="AD417" s="368"/>
      <c r="AE417" s="368"/>
      <c r="AF417" s="369"/>
      <c r="AG417" s="369"/>
      <c r="AH417" s="368"/>
      <c r="AI417" s="368"/>
    </row>
    <row r="418" spans="1:35" x14ac:dyDescent="0.2">
      <c r="A418" s="368"/>
      <c r="B418" s="368"/>
      <c r="C418" s="368"/>
      <c r="D418" s="368"/>
      <c r="E418" s="368"/>
      <c r="F418" s="368"/>
      <c r="G418" s="368"/>
      <c r="H418" s="368"/>
      <c r="I418" s="368"/>
      <c r="J418" s="368"/>
      <c r="K418" s="368"/>
      <c r="L418" s="368"/>
      <c r="M418" s="368"/>
      <c r="N418" s="368"/>
      <c r="O418" s="368"/>
      <c r="P418" s="368"/>
      <c r="Q418" s="368"/>
      <c r="R418" s="368"/>
      <c r="S418" s="368"/>
      <c r="T418" s="368"/>
      <c r="U418" s="368"/>
      <c r="V418" s="368"/>
      <c r="W418" s="368"/>
      <c r="X418" s="368"/>
      <c r="Y418" s="368"/>
      <c r="Z418" s="368"/>
      <c r="AA418" s="368"/>
      <c r="AB418" s="368"/>
      <c r="AC418" s="368"/>
      <c r="AD418" s="368"/>
      <c r="AE418" s="368"/>
      <c r="AF418" s="369"/>
      <c r="AG418" s="369"/>
      <c r="AH418" s="368"/>
      <c r="AI418" s="368"/>
    </row>
    <row r="419" spans="1:35" x14ac:dyDescent="0.2">
      <c r="A419" s="368"/>
      <c r="B419" s="368"/>
      <c r="C419" s="368"/>
      <c r="D419" s="368"/>
      <c r="E419" s="368"/>
      <c r="F419" s="368"/>
      <c r="G419" s="368"/>
      <c r="H419" s="368"/>
      <c r="I419" s="368"/>
      <c r="J419" s="368"/>
      <c r="K419" s="368"/>
      <c r="L419" s="368"/>
      <c r="M419" s="368"/>
      <c r="N419" s="368"/>
      <c r="O419" s="368"/>
      <c r="P419" s="368"/>
      <c r="Q419" s="368"/>
      <c r="R419" s="368"/>
      <c r="S419" s="368"/>
      <c r="T419" s="368"/>
      <c r="U419" s="368"/>
      <c r="V419" s="368"/>
      <c r="W419" s="368"/>
      <c r="X419" s="368"/>
      <c r="Y419" s="368"/>
      <c r="Z419" s="368"/>
      <c r="AA419" s="368"/>
      <c r="AB419" s="368"/>
      <c r="AC419" s="368"/>
      <c r="AD419" s="368"/>
      <c r="AE419" s="368"/>
      <c r="AF419" s="369"/>
      <c r="AG419" s="369"/>
      <c r="AH419" s="368"/>
      <c r="AI419" s="368"/>
    </row>
    <row r="420" spans="1:35" x14ac:dyDescent="0.2">
      <c r="A420" s="368"/>
      <c r="B420" s="368"/>
      <c r="C420" s="368"/>
      <c r="D420" s="368"/>
      <c r="E420" s="368"/>
      <c r="F420" s="368"/>
      <c r="G420" s="368"/>
      <c r="H420" s="368"/>
      <c r="I420" s="368"/>
      <c r="J420" s="368"/>
      <c r="K420" s="368"/>
      <c r="L420" s="368"/>
      <c r="M420" s="368"/>
      <c r="N420" s="368"/>
      <c r="O420" s="368"/>
      <c r="P420" s="368"/>
      <c r="Q420" s="368"/>
      <c r="R420" s="368"/>
      <c r="S420" s="368"/>
      <c r="T420" s="368"/>
      <c r="U420" s="368"/>
      <c r="V420" s="368"/>
      <c r="W420" s="368"/>
      <c r="X420" s="368"/>
      <c r="Y420" s="368"/>
      <c r="Z420" s="368"/>
      <c r="AA420" s="368"/>
      <c r="AB420" s="368"/>
      <c r="AC420" s="368"/>
      <c r="AD420" s="368"/>
      <c r="AE420" s="368"/>
      <c r="AF420" s="369"/>
      <c r="AG420" s="369"/>
      <c r="AH420" s="368"/>
      <c r="AI420" s="368"/>
    </row>
    <row r="421" spans="1:35" x14ac:dyDescent="0.2">
      <c r="A421" s="368"/>
      <c r="B421" s="368"/>
      <c r="C421" s="368"/>
      <c r="D421" s="368"/>
      <c r="E421" s="368"/>
      <c r="F421" s="368"/>
      <c r="G421" s="368"/>
      <c r="H421" s="368"/>
      <c r="I421" s="368"/>
      <c r="J421" s="368"/>
      <c r="K421" s="368"/>
      <c r="L421" s="368"/>
      <c r="M421" s="368"/>
      <c r="N421" s="368"/>
      <c r="O421" s="368"/>
      <c r="P421" s="368"/>
      <c r="Q421" s="368"/>
      <c r="R421" s="368"/>
      <c r="S421" s="368"/>
      <c r="T421" s="368"/>
      <c r="U421" s="368"/>
      <c r="V421" s="368"/>
      <c r="W421" s="368"/>
      <c r="X421" s="368"/>
      <c r="Y421" s="368"/>
      <c r="Z421" s="368"/>
      <c r="AA421" s="368"/>
      <c r="AB421" s="368"/>
      <c r="AC421" s="368"/>
      <c r="AD421" s="368"/>
      <c r="AE421" s="368"/>
      <c r="AF421" s="369"/>
      <c r="AG421" s="369"/>
      <c r="AH421" s="368"/>
      <c r="AI421" s="368"/>
    </row>
    <row r="422" spans="1:35" x14ac:dyDescent="0.2">
      <c r="A422" s="368"/>
      <c r="B422" s="368"/>
      <c r="C422" s="368"/>
      <c r="D422" s="368"/>
      <c r="E422" s="368"/>
      <c r="F422" s="368"/>
      <c r="G422" s="368"/>
      <c r="H422" s="368"/>
      <c r="I422" s="368"/>
      <c r="J422" s="368"/>
      <c r="K422" s="368"/>
      <c r="L422" s="368"/>
      <c r="M422" s="368"/>
      <c r="N422" s="368"/>
      <c r="O422" s="368"/>
      <c r="P422" s="368"/>
      <c r="Q422" s="368"/>
      <c r="R422" s="368"/>
      <c r="S422" s="368"/>
      <c r="T422" s="368"/>
      <c r="U422" s="368"/>
      <c r="V422" s="368"/>
      <c r="W422" s="368"/>
      <c r="X422" s="368"/>
      <c r="Y422" s="368"/>
      <c r="Z422" s="368"/>
      <c r="AA422" s="368"/>
      <c r="AB422" s="368"/>
      <c r="AC422" s="368"/>
      <c r="AD422" s="368"/>
      <c r="AE422" s="368"/>
      <c r="AF422" s="369"/>
      <c r="AG422" s="369"/>
      <c r="AH422" s="368"/>
      <c r="AI422" s="368"/>
    </row>
    <row r="423" spans="1:35" x14ac:dyDescent="0.2">
      <c r="A423" s="368"/>
      <c r="B423" s="368"/>
      <c r="C423" s="368"/>
      <c r="D423" s="368"/>
      <c r="E423" s="368"/>
      <c r="F423" s="368"/>
      <c r="G423" s="368"/>
      <c r="H423" s="368"/>
      <c r="I423" s="368"/>
      <c r="J423" s="368"/>
      <c r="K423" s="368"/>
      <c r="L423" s="368"/>
      <c r="M423" s="368"/>
      <c r="N423" s="368"/>
      <c r="O423" s="368"/>
      <c r="P423" s="368"/>
      <c r="Q423" s="368"/>
      <c r="R423" s="368"/>
      <c r="S423" s="368"/>
      <c r="T423" s="368"/>
      <c r="U423" s="368"/>
      <c r="V423" s="368"/>
      <c r="W423" s="368"/>
      <c r="X423" s="368"/>
      <c r="Y423" s="368"/>
      <c r="Z423" s="368"/>
      <c r="AA423" s="368"/>
      <c r="AB423" s="368"/>
      <c r="AC423" s="368"/>
      <c r="AD423" s="368"/>
      <c r="AE423" s="368"/>
      <c r="AF423" s="369"/>
      <c r="AG423" s="369"/>
      <c r="AH423" s="368"/>
      <c r="AI423" s="368"/>
    </row>
    <row r="424" spans="1:35" x14ac:dyDescent="0.2">
      <c r="A424" s="368"/>
      <c r="B424" s="368"/>
      <c r="C424" s="368"/>
      <c r="D424" s="368"/>
      <c r="E424" s="368"/>
      <c r="F424" s="368"/>
      <c r="G424" s="368"/>
      <c r="H424" s="368"/>
      <c r="I424" s="368"/>
      <c r="J424" s="368"/>
      <c r="K424" s="368"/>
      <c r="L424" s="368"/>
      <c r="M424" s="368"/>
      <c r="N424" s="368"/>
      <c r="O424" s="368"/>
      <c r="P424" s="368"/>
      <c r="Q424" s="368"/>
      <c r="R424" s="368"/>
      <c r="S424" s="368"/>
      <c r="T424" s="368"/>
      <c r="U424" s="368"/>
      <c r="V424" s="368"/>
      <c r="W424" s="368"/>
      <c r="X424" s="368"/>
      <c r="Y424" s="368"/>
      <c r="Z424" s="368"/>
      <c r="AA424" s="368"/>
      <c r="AB424" s="368"/>
      <c r="AC424" s="368"/>
      <c r="AD424" s="368"/>
      <c r="AE424" s="368"/>
      <c r="AF424" s="369"/>
      <c r="AG424" s="369"/>
      <c r="AH424" s="368"/>
      <c r="AI424" s="368"/>
    </row>
    <row r="425" spans="1:35" x14ac:dyDescent="0.2">
      <c r="A425" s="368"/>
      <c r="B425" s="368"/>
      <c r="C425" s="368"/>
      <c r="D425" s="368"/>
      <c r="E425" s="368"/>
      <c r="F425" s="368"/>
      <c r="G425" s="368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/>
      <c r="U425" s="368"/>
      <c r="V425" s="368"/>
      <c r="W425" s="368"/>
      <c r="X425" s="368"/>
      <c r="Y425" s="368"/>
      <c r="Z425" s="368"/>
      <c r="AA425" s="368"/>
      <c r="AB425" s="368"/>
      <c r="AC425" s="368"/>
      <c r="AD425" s="368"/>
      <c r="AE425" s="368"/>
      <c r="AF425" s="369"/>
      <c r="AG425" s="369"/>
      <c r="AH425" s="368"/>
      <c r="AI425" s="368"/>
    </row>
    <row r="426" spans="1:35" x14ac:dyDescent="0.2">
      <c r="A426" s="368"/>
      <c r="B426" s="368"/>
      <c r="C426" s="368"/>
      <c r="D426" s="368"/>
      <c r="E426" s="368"/>
      <c r="F426" s="368"/>
      <c r="G426" s="368"/>
      <c r="H426" s="368"/>
      <c r="I426" s="368"/>
      <c r="J426" s="368"/>
      <c r="K426" s="368"/>
      <c r="L426" s="368"/>
      <c r="M426" s="368"/>
      <c r="N426" s="368"/>
      <c r="O426" s="368"/>
      <c r="P426" s="368"/>
      <c r="Q426" s="368"/>
      <c r="R426" s="368"/>
      <c r="S426" s="368"/>
      <c r="T426" s="368"/>
      <c r="U426" s="368"/>
      <c r="V426" s="368"/>
      <c r="W426" s="368"/>
      <c r="X426" s="368"/>
      <c r="Y426" s="368"/>
      <c r="Z426" s="368"/>
      <c r="AA426" s="368"/>
      <c r="AB426" s="368"/>
      <c r="AC426" s="368"/>
      <c r="AD426" s="368"/>
      <c r="AE426" s="368"/>
      <c r="AF426" s="369"/>
      <c r="AG426" s="369"/>
      <c r="AH426" s="368"/>
      <c r="AI426" s="368"/>
    </row>
    <row r="427" spans="1:35" x14ac:dyDescent="0.2">
      <c r="A427" s="368"/>
      <c r="B427" s="368"/>
      <c r="C427" s="368"/>
      <c r="D427" s="368"/>
      <c r="E427" s="368"/>
      <c r="F427" s="368"/>
      <c r="G427" s="368"/>
      <c r="H427" s="368"/>
      <c r="I427" s="368"/>
      <c r="J427" s="368"/>
      <c r="K427" s="368"/>
      <c r="L427" s="368"/>
      <c r="M427" s="368"/>
      <c r="N427" s="368"/>
      <c r="O427" s="368"/>
      <c r="P427" s="368"/>
      <c r="Q427" s="368"/>
      <c r="R427" s="368"/>
      <c r="S427" s="368"/>
      <c r="T427" s="368"/>
      <c r="U427" s="368"/>
      <c r="V427" s="368"/>
      <c r="W427" s="368"/>
      <c r="X427" s="368"/>
      <c r="Y427" s="368"/>
      <c r="Z427" s="368"/>
      <c r="AA427" s="368"/>
      <c r="AB427" s="368"/>
      <c r="AC427" s="368"/>
      <c r="AD427" s="368"/>
      <c r="AE427" s="368"/>
      <c r="AF427" s="369"/>
      <c r="AG427" s="369"/>
      <c r="AH427" s="368"/>
      <c r="AI427" s="368"/>
    </row>
    <row r="428" spans="1:35" x14ac:dyDescent="0.2">
      <c r="A428" s="368"/>
      <c r="B428" s="368"/>
      <c r="C428" s="368"/>
      <c r="D428" s="368"/>
      <c r="E428" s="368"/>
      <c r="F428" s="368"/>
      <c r="G428" s="368"/>
      <c r="H428" s="368"/>
      <c r="I428" s="368"/>
      <c r="J428" s="368"/>
      <c r="K428" s="368"/>
      <c r="L428" s="368"/>
      <c r="M428" s="368"/>
      <c r="N428" s="368"/>
      <c r="O428" s="368"/>
      <c r="P428" s="368"/>
      <c r="Q428" s="368"/>
      <c r="R428" s="368"/>
      <c r="S428" s="368"/>
      <c r="T428" s="368"/>
      <c r="U428" s="368"/>
      <c r="V428" s="368"/>
      <c r="W428" s="368"/>
      <c r="X428" s="368"/>
      <c r="Y428" s="368"/>
      <c r="Z428" s="368"/>
      <c r="AA428" s="368"/>
      <c r="AB428" s="368"/>
      <c r="AC428" s="368"/>
      <c r="AD428" s="368"/>
      <c r="AE428" s="368"/>
      <c r="AF428" s="369"/>
      <c r="AG428" s="369"/>
      <c r="AH428" s="368"/>
      <c r="AI428" s="368"/>
    </row>
    <row r="429" spans="1:35" x14ac:dyDescent="0.2">
      <c r="A429" s="368"/>
      <c r="B429" s="368"/>
      <c r="C429" s="368"/>
      <c r="D429" s="368"/>
      <c r="E429" s="368"/>
      <c r="F429" s="368"/>
      <c r="G429" s="368"/>
      <c r="H429" s="368"/>
      <c r="I429" s="368"/>
      <c r="J429" s="368"/>
      <c r="K429" s="368"/>
      <c r="L429" s="368"/>
      <c r="M429" s="368"/>
      <c r="N429" s="368"/>
      <c r="O429" s="368"/>
      <c r="P429" s="368"/>
      <c r="Q429" s="368"/>
      <c r="R429" s="368"/>
      <c r="S429" s="368"/>
      <c r="T429" s="368"/>
      <c r="U429" s="368"/>
      <c r="V429" s="368"/>
      <c r="W429" s="368"/>
      <c r="X429" s="368"/>
      <c r="Y429" s="368"/>
      <c r="Z429" s="368"/>
      <c r="AA429" s="368"/>
      <c r="AB429" s="368"/>
      <c r="AC429" s="368"/>
      <c r="AD429" s="368"/>
      <c r="AE429" s="368"/>
      <c r="AF429" s="369"/>
      <c r="AG429" s="369"/>
      <c r="AH429" s="368"/>
      <c r="AI429" s="368"/>
    </row>
    <row r="430" spans="1:35" x14ac:dyDescent="0.2">
      <c r="A430" s="368"/>
      <c r="B430" s="368"/>
      <c r="C430" s="368"/>
      <c r="D430" s="368"/>
      <c r="E430" s="368"/>
      <c r="F430" s="368"/>
      <c r="G430" s="368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  <c r="Z430" s="368"/>
      <c r="AA430" s="368"/>
      <c r="AB430" s="368"/>
      <c r="AC430" s="368"/>
      <c r="AD430" s="368"/>
      <c r="AE430" s="368"/>
      <c r="AF430" s="369"/>
      <c r="AG430" s="369"/>
      <c r="AH430" s="368"/>
      <c r="AI430" s="368"/>
    </row>
    <row r="431" spans="1:35" x14ac:dyDescent="0.2">
      <c r="A431" s="368"/>
      <c r="B431" s="368"/>
      <c r="C431" s="368"/>
      <c r="D431" s="368"/>
      <c r="E431" s="368"/>
      <c r="F431" s="368"/>
      <c r="G431" s="368"/>
      <c r="H431" s="368"/>
      <c r="I431" s="368"/>
      <c r="J431" s="368"/>
      <c r="K431" s="368"/>
      <c r="L431" s="368"/>
      <c r="M431" s="368"/>
      <c r="N431" s="368"/>
      <c r="O431" s="368"/>
      <c r="P431" s="368"/>
      <c r="Q431" s="368"/>
      <c r="R431" s="368"/>
      <c r="S431" s="368"/>
      <c r="T431" s="368"/>
      <c r="U431" s="368"/>
      <c r="V431" s="368"/>
      <c r="W431" s="368"/>
      <c r="X431" s="368"/>
      <c r="Y431" s="368"/>
      <c r="Z431" s="368"/>
      <c r="AA431" s="368"/>
      <c r="AB431" s="368"/>
      <c r="AC431" s="368"/>
      <c r="AD431" s="368"/>
      <c r="AE431" s="368"/>
      <c r="AF431" s="369"/>
      <c r="AG431" s="369"/>
      <c r="AH431" s="368"/>
      <c r="AI431" s="368"/>
    </row>
    <row r="432" spans="1:35" x14ac:dyDescent="0.2">
      <c r="A432" s="368"/>
      <c r="B432" s="368"/>
      <c r="C432" s="368"/>
      <c r="D432" s="368"/>
      <c r="E432" s="368"/>
      <c r="F432" s="368"/>
      <c r="G432" s="368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  <c r="Z432" s="368"/>
      <c r="AA432" s="368"/>
      <c r="AB432" s="368"/>
      <c r="AC432" s="368"/>
      <c r="AD432" s="368"/>
      <c r="AE432" s="368"/>
      <c r="AF432" s="369"/>
      <c r="AG432" s="369"/>
      <c r="AH432" s="368"/>
      <c r="AI432" s="368"/>
    </row>
    <row r="433" spans="1:35" x14ac:dyDescent="0.2">
      <c r="A433" s="368"/>
      <c r="B433" s="368"/>
      <c r="C433" s="368"/>
      <c r="D433" s="368"/>
      <c r="E433" s="368"/>
      <c r="F433" s="368"/>
      <c r="G433" s="368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8"/>
      <c r="Y433" s="368"/>
      <c r="Z433" s="368"/>
      <c r="AA433" s="368"/>
      <c r="AB433" s="368"/>
      <c r="AC433" s="368"/>
      <c r="AD433" s="368"/>
      <c r="AE433" s="368"/>
      <c r="AF433" s="369"/>
      <c r="AG433" s="369"/>
      <c r="AH433" s="368"/>
      <c r="AI433" s="368"/>
    </row>
    <row r="434" spans="1:35" x14ac:dyDescent="0.2">
      <c r="A434" s="368"/>
      <c r="B434" s="368"/>
      <c r="C434" s="368"/>
      <c r="D434" s="368"/>
      <c r="E434" s="368"/>
      <c r="F434" s="368"/>
      <c r="G434" s="368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8"/>
      <c r="Y434" s="368"/>
      <c r="Z434" s="368"/>
      <c r="AA434" s="368"/>
      <c r="AB434" s="368"/>
      <c r="AC434" s="368"/>
      <c r="AD434" s="368"/>
      <c r="AE434" s="368"/>
      <c r="AF434" s="369"/>
      <c r="AG434" s="369"/>
      <c r="AH434" s="368"/>
      <c r="AI434" s="368"/>
    </row>
    <row r="435" spans="1:35" x14ac:dyDescent="0.2">
      <c r="A435" s="368"/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8"/>
      <c r="M435" s="368"/>
      <c r="N435" s="368"/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8"/>
      <c r="AA435" s="368"/>
      <c r="AB435" s="368"/>
      <c r="AC435" s="368"/>
      <c r="AD435" s="368"/>
      <c r="AE435" s="368"/>
      <c r="AF435" s="369"/>
      <c r="AG435" s="369"/>
      <c r="AH435" s="368"/>
      <c r="AI435" s="368"/>
    </row>
    <row r="436" spans="1:35" x14ac:dyDescent="0.2">
      <c r="A436" s="368"/>
      <c r="B436" s="368"/>
      <c r="C436" s="368"/>
      <c r="D436" s="368"/>
      <c r="E436" s="368"/>
      <c r="F436" s="368"/>
      <c r="G436" s="368"/>
      <c r="H436" s="368"/>
      <c r="I436" s="368"/>
      <c r="J436" s="368"/>
      <c r="K436" s="368"/>
      <c r="L436" s="368"/>
      <c r="M436" s="368"/>
      <c r="N436" s="368"/>
      <c r="O436" s="368"/>
      <c r="P436" s="368"/>
      <c r="Q436" s="368"/>
      <c r="R436" s="368"/>
      <c r="S436" s="368"/>
      <c r="T436" s="368"/>
      <c r="U436" s="368"/>
      <c r="V436" s="368"/>
      <c r="W436" s="368"/>
      <c r="X436" s="368"/>
      <c r="Y436" s="368"/>
      <c r="Z436" s="368"/>
      <c r="AA436" s="368"/>
      <c r="AB436" s="368"/>
      <c r="AC436" s="368"/>
      <c r="AD436" s="368"/>
      <c r="AE436" s="368"/>
      <c r="AF436" s="369"/>
      <c r="AG436" s="369"/>
      <c r="AH436" s="368"/>
      <c r="AI436" s="368"/>
    </row>
    <row r="437" spans="1:35" x14ac:dyDescent="0.2">
      <c r="A437" s="368"/>
      <c r="B437" s="368"/>
      <c r="C437" s="368"/>
      <c r="D437" s="368"/>
      <c r="E437" s="368"/>
      <c r="F437" s="368"/>
      <c r="G437" s="368"/>
      <c r="H437" s="368"/>
      <c r="I437" s="36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68"/>
      <c r="U437" s="368"/>
      <c r="V437" s="368"/>
      <c r="W437" s="368"/>
      <c r="X437" s="368"/>
      <c r="Y437" s="368"/>
      <c r="Z437" s="368"/>
      <c r="AA437" s="368"/>
      <c r="AB437" s="368"/>
      <c r="AC437" s="368"/>
      <c r="AD437" s="368"/>
      <c r="AE437" s="368"/>
      <c r="AF437" s="369"/>
      <c r="AG437" s="369"/>
      <c r="AH437" s="368"/>
      <c r="AI437" s="368"/>
    </row>
    <row r="438" spans="1:35" x14ac:dyDescent="0.2">
      <c r="A438" s="368"/>
      <c r="B438" s="368"/>
      <c r="C438" s="368"/>
      <c r="D438" s="368"/>
      <c r="E438" s="368"/>
      <c r="F438" s="368"/>
      <c r="G438" s="368"/>
      <c r="H438" s="368"/>
      <c r="I438" s="368"/>
      <c r="J438" s="368"/>
      <c r="K438" s="368"/>
      <c r="L438" s="368"/>
      <c r="M438" s="368"/>
      <c r="N438" s="368"/>
      <c r="O438" s="368"/>
      <c r="P438" s="368"/>
      <c r="Q438" s="368"/>
      <c r="R438" s="368"/>
      <c r="S438" s="368"/>
      <c r="T438" s="368"/>
      <c r="U438" s="368"/>
      <c r="V438" s="368"/>
      <c r="W438" s="368"/>
      <c r="X438" s="368"/>
      <c r="Y438" s="368"/>
      <c r="Z438" s="368"/>
      <c r="AA438" s="368"/>
      <c r="AB438" s="368"/>
      <c r="AC438" s="368"/>
      <c r="AD438" s="368"/>
      <c r="AE438" s="368"/>
      <c r="AF438" s="369"/>
      <c r="AG438" s="369"/>
      <c r="AH438" s="368"/>
      <c r="AI438" s="368"/>
    </row>
    <row r="439" spans="1:35" x14ac:dyDescent="0.2">
      <c r="A439" s="368"/>
      <c r="B439" s="368"/>
      <c r="C439" s="368"/>
      <c r="D439" s="368"/>
      <c r="E439" s="368"/>
      <c r="F439" s="368"/>
      <c r="G439" s="368"/>
      <c r="H439" s="368"/>
      <c r="I439" s="368"/>
      <c r="J439" s="368"/>
      <c r="K439" s="368"/>
      <c r="L439" s="368"/>
      <c r="M439" s="368"/>
      <c r="N439" s="368"/>
      <c r="O439" s="368"/>
      <c r="P439" s="368"/>
      <c r="Q439" s="368"/>
      <c r="R439" s="368"/>
      <c r="S439" s="368"/>
      <c r="T439" s="368"/>
      <c r="U439" s="368"/>
      <c r="V439" s="368"/>
      <c r="W439" s="368"/>
      <c r="X439" s="368"/>
      <c r="Y439" s="368"/>
      <c r="Z439" s="368"/>
      <c r="AA439" s="368"/>
      <c r="AB439" s="368"/>
      <c r="AC439" s="368"/>
      <c r="AD439" s="368"/>
      <c r="AE439" s="368"/>
      <c r="AF439" s="369"/>
      <c r="AG439" s="369"/>
      <c r="AH439" s="368"/>
      <c r="AI439" s="368"/>
    </row>
    <row r="440" spans="1:35" x14ac:dyDescent="0.2">
      <c r="A440" s="368"/>
      <c r="B440" s="368"/>
      <c r="C440" s="368"/>
      <c r="D440" s="368"/>
      <c r="E440" s="368"/>
      <c r="F440" s="368"/>
      <c r="G440" s="368"/>
      <c r="H440" s="368"/>
      <c r="I440" s="368"/>
      <c r="J440" s="368"/>
      <c r="K440" s="368"/>
      <c r="L440" s="368"/>
      <c r="M440" s="368"/>
      <c r="N440" s="368"/>
      <c r="O440" s="368"/>
      <c r="P440" s="368"/>
      <c r="Q440" s="368"/>
      <c r="R440" s="368"/>
      <c r="S440" s="368"/>
      <c r="T440" s="368"/>
      <c r="U440" s="368"/>
      <c r="V440" s="368"/>
      <c r="W440" s="368"/>
      <c r="X440" s="368"/>
      <c r="Y440" s="368"/>
      <c r="Z440" s="368"/>
      <c r="AA440" s="368"/>
      <c r="AB440" s="368"/>
      <c r="AC440" s="368"/>
      <c r="AD440" s="368"/>
      <c r="AE440" s="368"/>
      <c r="AF440" s="369"/>
      <c r="AG440" s="369"/>
      <c r="AH440" s="368"/>
      <c r="AI440" s="368"/>
    </row>
    <row r="441" spans="1:35" x14ac:dyDescent="0.2">
      <c r="A441" s="368"/>
      <c r="B441" s="368"/>
      <c r="C441" s="368"/>
      <c r="D441" s="368"/>
      <c r="E441" s="368"/>
      <c r="F441" s="368"/>
      <c r="G441" s="368"/>
      <c r="H441" s="368"/>
      <c r="I441" s="36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8"/>
      <c r="Y441" s="368"/>
      <c r="Z441" s="368"/>
      <c r="AA441" s="368"/>
      <c r="AB441" s="368"/>
      <c r="AC441" s="368"/>
      <c r="AD441" s="368"/>
      <c r="AE441" s="368"/>
      <c r="AF441" s="369"/>
      <c r="AG441" s="369"/>
      <c r="AH441" s="368"/>
      <c r="AI441" s="368"/>
    </row>
    <row r="442" spans="1:35" x14ac:dyDescent="0.2">
      <c r="A442" s="368"/>
      <c r="B442" s="368"/>
      <c r="C442" s="368"/>
      <c r="D442" s="368"/>
      <c r="E442" s="368"/>
      <c r="F442" s="368"/>
      <c r="G442" s="368"/>
      <c r="H442" s="368"/>
      <c r="I442" s="368"/>
      <c r="J442" s="368"/>
      <c r="K442" s="368"/>
      <c r="L442" s="368"/>
      <c r="M442" s="368"/>
      <c r="N442" s="368"/>
      <c r="O442" s="368"/>
      <c r="P442" s="368"/>
      <c r="Q442" s="368"/>
      <c r="R442" s="368"/>
      <c r="S442" s="368"/>
      <c r="T442" s="368"/>
      <c r="U442" s="368"/>
      <c r="V442" s="368"/>
      <c r="W442" s="368"/>
      <c r="X442" s="368"/>
      <c r="Y442" s="368"/>
      <c r="Z442" s="368"/>
      <c r="AA442" s="368"/>
      <c r="AB442" s="368"/>
      <c r="AC442" s="368"/>
      <c r="AD442" s="368"/>
      <c r="AE442" s="368"/>
      <c r="AF442" s="369"/>
      <c r="AG442" s="369"/>
      <c r="AH442" s="368"/>
      <c r="AI442" s="368"/>
    </row>
    <row r="443" spans="1:35" x14ac:dyDescent="0.2">
      <c r="A443" s="368"/>
      <c r="B443" s="368"/>
      <c r="C443" s="368"/>
      <c r="D443" s="368"/>
      <c r="E443" s="368"/>
      <c r="F443" s="368"/>
      <c r="G443" s="368"/>
      <c r="H443" s="368"/>
      <c r="I443" s="368"/>
      <c r="J443" s="368"/>
      <c r="K443" s="368"/>
      <c r="L443" s="368"/>
      <c r="M443" s="368"/>
      <c r="N443" s="368"/>
      <c r="O443" s="368"/>
      <c r="P443" s="368"/>
      <c r="Q443" s="368"/>
      <c r="R443" s="368"/>
      <c r="S443" s="368"/>
      <c r="T443" s="368"/>
      <c r="U443" s="368"/>
      <c r="V443" s="368"/>
      <c r="W443" s="368"/>
      <c r="X443" s="368"/>
      <c r="Y443" s="368"/>
      <c r="Z443" s="368"/>
      <c r="AA443" s="368"/>
      <c r="AB443" s="368"/>
      <c r="AC443" s="368"/>
      <c r="AD443" s="368"/>
      <c r="AE443" s="368"/>
      <c r="AF443" s="369"/>
      <c r="AG443" s="369"/>
      <c r="AH443" s="368"/>
      <c r="AI443" s="368"/>
    </row>
    <row r="444" spans="1:35" x14ac:dyDescent="0.2">
      <c r="A444" s="368"/>
      <c r="B444" s="368"/>
      <c r="C444" s="368"/>
      <c r="D444" s="368"/>
      <c r="E444" s="368"/>
      <c r="F444" s="368"/>
      <c r="G444" s="368"/>
      <c r="H444" s="368"/>
      <c r="I444" s="368"/>
      <c r="J444" s="368"/>
      <c r="K444" s="368"/>
      <c r="L444" s="368"/>
      <c r="M444" s="368"/>
      <c r="N444" s="368"/>
      <c r="O444" s="368"/>
      <c r="P444" s="368"/>
      <c r="Q444" s="368"/>
      <c r="R444" s="368"/>
      <c r="S444" s="368"/>
      <c r="T444" s="368"/>
      <c r="U444" s="368"/>
      <c r="V444" s="368"/>
      <c r="W444" s="368"/>
      <c r="X444" s="368"/>
      <c r="Y444" s="368"/>
      <c r="Z444" s="368"/>
      <c r="AA444" s="368"/>
      <c r="AB444" s="368"/>
      <c r="AC444" s="368"/>
      <c r="AD444" s="368"/>
      <c r="AE444" s="368"/>
      <c r="AF444" s="369"/>
      <c r="AG444" s="369"/>
      <c r="AH444" s="368"/>
      <c r="AI444" s="368"/>
    </row>
    <row r="445" spans="1:35" x14ac:dyDescent="0.2">
      <c r="A445" s="368"/>
      <c r="B445" s="368"/>
      <c r="C445" s="368"/>
      <c r="D445" s="368"/>
      <c r="E445" s="368"/>
      <c r="F445" s="368"/>
      <c r="G445" s="368"/>
      <c r="H445" s="368"/>
      <c r="I445" s="368"/>
      <c r="J445" s="368"/>
      <c r="K445" s="368"/>
      <c r="L445" s="368"/>
      <c r="M445" s="368"/>
      <c r="N445" s="368"/>
      <c r="O445" s="368"/>
      <c r="P445" s="368"/>
      <c r="Q445" s="368"/>
      <c r="R445" s="368"/>
      <c r="S445" s="368"/>
      <c r="T445" s="368"/>
      <c r="U445" s="368"/>
      <c r="V445" s="368"/>
      <c r="W445" s="368"/>
      <c r="X445" s="368"/>
      <c r="Y445" s="368"/>
      <c r="Z445" s="368"/>
      <c r="AA445" s="368"/>
      <c r="AB445" s="368"/>
      <c r="AC445" s="368"/>
      <c r="AD445" s="368"/>
      <c r="AE445" s="368"/>
      <c r="AF445" s="369"/>
      <c r="AG445" s="369"/>
      <c r="AH445" s="368"/>
      <c r="AI445" s="368"/>
    </row>
    <row r="446" spans="1:35" x14ac:dyDescent="0.2">
      <c r="A446" s="368"/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/>
      <c r="U446" s="368"/>
      <c r="V446" s="368"/>
      <c r="W446" s="368"/>
      <c r="X446" s="368"/>
      <c r="Y446" s="368"/>
      <c r="Z446" s="368"/>
      <c r="AA446" s="368"/>
      <c r="AB446" s="368"/>
      <c r="AC446" s="368"/>
      <c r="AD446" s="368"/>
      <c r="AE446" s="368"/>
      <c r="AF446" s="369"/>
      <c r="AG446" s="369"/>
      <c r="AH446" s="368"/>
      <c r="AI446" s="368"/>
    </row>
    <row r="447" spans="1:35" x14ac:dyDescent="0.2">
      <c r="A447" s="368"/>
      <c r="B447" s="368"/>
      <c r="C447" s="368"/>
      <c r="D447" s="368"/>
      <c r="E447" s="368"/>
      <c r="F447" s="368"/>
      <c r="G447" s="368"/>
      <c r="H447" s="368"/>
      <c r="I447" s="368"/>
      <c r="J447" s="368"/>
      <c r="K447" s="368"/>
      <c r="L447" s="368"/>
      <c r="M447" s="368"/>
      <c r="N447" s="368"/>
      <c r="O447" s="368"/>
      <c r="P447" s="368"/>
      <c r="Q447" s="368"/>
      <c r="R447" s="368"/>
      <c r="S447" s="368"/>
      <c r="T447" s="368"/>
      <c r="U447" s="368"/>
      <c r="V447" s="368"/>
      <c r="W447" s="368"/>
      <c r="X447" s="368"/>
      <c r="Y447" s="368"/>
      <c r="Z447" s="368"/>
      <c r="AA447" s="368"/>
      <c r="AB447" s="368"/>
      <c r="AC447" s="368"/>
      <c r="AD447" s="368"/>
      <c r="AE447" s="368"/>
      <c r="AF447" s="369"/>
      <c r="AG447" s="369"/>
      <c r="AH447" s="368"/>
      <c r="AI447" s="368"/>
    </row>
    <row r="448" spans="1:35" x14ac:dyDescent="0.2">
      <c r="A448" s="368"/>
      <c r="B448" s="368"/>
      <c r="C448" s="368"/>
      <c r="D448" s="368"/>
      <c r="E448" s="368"/>
      <c r="F448" s="368"/>
      <c r="G448" s="368"/>
      <c r="H448" s="368"/>
      <c r="I448" s="368"/>
      <c r="J448" s="368"/>
      <c r="K448" s="368"/>
      <c r="L448" s="368"/>
      <c r="M448" s="368"/>
      <c r="N448" s="368"/>
      <c r="O448" s="368"/>
      <c r="P448" s="368"/>
      <c r="Q448" s="368"/>
      <c r="R448" s="368"/>
      <c r="S448" s="368"/>
      <c r="T448" s="368"/>
      <c r="U448" s="368"/>
      <c r="V448" s="368"/>
      <c r="W448" s="368"/>
      <c r="X448" s="368"/>
      <c r="Y448" s="368"/>
      <c r="Z448" s="368"/>
      <c r="AA448" s="368"/>
      <c r="AB448" s="368"/>
      <c r="AC448" s="368"/>
      <c r="AD448" s="368"/>
      <c r="AE448" s="368"/>
      <c r="AF448" s="369"/>
      <c r="AG448" s="369"/>
      <c r="AH448" s="368"/>
      <c r="AI448" s="368"/>
    </row>
    <row r="449" spans="1:35" x14ac:dyDescent="0.2">
      <c r="A449" s="368"/>
      <c r="B449" s="368"/>
      <c r="C449" s="368"/>
      <c r="D449" s="368"/>
      <c r="E449" s="368"/>
      <c r="F449" s="368"/>
      <c r="G449" s="368"/>
      <c r="H449" s="368"/>
      <c r="I449" s="368"/>
      <c r="J449" s="368"/>
      <c r="K449" s="368"/>
      <c r="L449" s="368"/>
      <c r="M449" s="368"/>
      <c r="N449" s="368"/>
      <c r="O449" s="368"/>
      <c r="P449" s="368"/>
      <c r="Q449" s="368"/>
      <c r="R449" s="368"/>
      <c r="S449" s="368"/>
      <c r="T449" s="368"/>
      <c r="U449" s="368"/>
      <c r="V449" s="368"/>
      <c r="W449" s="368"/>
      <c r="X449" s="368"/>
      <c r="Y449" s="368"/>
      <c r="Z449" s="368"/>
      <c r="AA449" s="368"/>
      <c r="AB449" s="368"/>
      <c r="AC449" s="368"/>
      <c r="AD449" s="368"/>
      <c r="AE449" s="368"/>
      <c r="AF449" s="369"/>
      <c r="AG449" s="369"/>
      <c r="AH449" s="368"/>
      <c r="AI449" s="368"/>
    </row>
    <row r="450" spans="1:35" x14ac:dyDescent="0.2">
      <c r="A450" s="368"/>
      <c r="B450" s="368"/>
      <c r="C450" s="368"/>
      <c r="D450" s="368"/>
      <c r="E450" s="368"/>
      <c r="F450" s="368"/>
      <c r="G450" s="368"/>
      <c r="H450" s="368"/>
      <c r="I450" s="368"/>
      <c r="J450" s="368"/>
      <c r="K450" s="368"/>
      <c r="L450" s="368"/>
      <c r="M450" s="368"/>
      <c r="N450" s="368"/>
      <c r="O450" s="368"/>
      <c r="P450" s="368"/>
      <c r="Q450" s="368"/>
      <c r="R450" s="368"/>
      <c r="S450" s="368"/>
      <c r="T450" s="368"/>
      <c r="U450" s="368"/>
      <c r="V450" s="368"/>
      <c r="W450" s="368"/>
      <c r="X450" s="368"/>
      <c r="Y450" s="368"/>
      <c r="Z450" s="368"/>
      <c r="AA450" s="368"/>
      <c r="AB450" s="368"/>
      <c r="AC450" s="368"/>
      <c r="AD450" s="368"/>
      <c r="AE450" s="368"/>
      <c r="AF450" s="369"/>
      <c r="AG450" s="369"/>
      <c r="AH450" s="368"/>
      <c r="AI450" s="368"/>
    </row>
    <row r="451" spans="1:35" x14ac:dyDescent="0.2">
      <c r="A451" s="368"/>
      <c r="B451" s="368"/>
      <c r="C451" s="368"/>
      <c r="D451" s="368"/>
      <c r="E451" s="368"/>
      <c r="F451" s="368"/>
      <c r="G451" s="368"/>
      <c r="H451" s="368"/>
      <c r="I451" s="368"/>
      <c r="J451" s="368"/>
      <c r="K451" s="368"/>
      <c r="L451" s="368"/>
      <c r="M451" s="368"/>
      <c r="N451" s="368"/>
      <c r="O451" s="368"/>
      <c r="P451" s="368"/>
      <c r="Q451" s="368"/>
      <c r="R451" s="368"/>
      <c r="S451" s="368"/>
      <c r="T451" s="368"/>
      <c r="U451" s="368"/>
      <c r="V451" s="368"/>
      <c r="W451" s="368"/>
      <c r="X451" s="368"/>
      <c r="Y451" s="368"/>
      <c r="Z451" s="368"/>
      <c r="AA451" s="368"/>
      <c r="AB451" s="368"/>
      <c r="AC451" s="368"/>
      <c r="AD451" s="368"/>
      <c r="AE451" s="368"/>
      <c r="AF451" s="369"/>
      <c r="AG451" s="369"/>
      <c r="AH451" s="368"/>
      <c r="AI451" s="368"/>
    </row>
    <row r="452" spans="1:35" x14ac:dyDescent="0.2">
      <c r="A452" s="368"/>
      <c r="B452" s="368"/>
      <c r="C452" s="368"/>
      <c r="D452" s="368"/>
      <c r="E452" s="368"/>
      <c r="F452" s="368"/>
      <c r="G452" s="368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9"/>
      <c r="AG452" s="369"/>
      <c r="AH452" s="368"/>
      <c r="AI452" s="368"/>
    </row>
    <row r="453" spans="1:35" x14ac:dyDescent="0.2">
      <c r="A453" s="368"/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8"/>
      <c r="M453" s="368"/>
      <c r="N453" s="368"/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8"/>
      <c r="AA453" s="368"/>
      <c r="AB453" s="368"/>
      <c r="AC453" s="368"/>
      <c r="AD453" s="368"/>
      <c r="AE453" s="368"/>
      <c r="AF453" s="369"/>
      <c r="AG453" s="369"/>
      <c r="AH453" s="368"/>
      <c r="AI453" s="368"/>
    </row>
    <row r="454" spans="1:35" x14ac:dyDescent="0.2">
      <c r="A454" s="368"/>
      <c r="B454" s="368"/>
      <c r="C454" s="368"/>
      <c r="D454" s="368"/>
      <c r="E454" s="368"/>
      <c r="F454" s="368"/>
      <c r="G454" s="368"/>
      <c r="H454" s="368"/>
      <c r="I454" s="368"/>
      <c r="J454" s="368"/>
      <c r="K454" s="368"/>
      <c r="L454" s="368"/>
      <c r="M454" s="368"/>
      <c r="N454" s="368"/>
      <c r="O454" s="368"/>
      <c r="P454" s="368"/>
      <c r="Q454" s="368"/>
      <c r="R454" s="368"/>
      <c r="S454" s="368"/>
      <c r="T454" s="368"/>
      <c r="U454" s="368"/>
      <c r="V454" s="368"/>
      <c r="W454" s="368"/>
      <c r="X454" s="368"/>
      <c r="Y454" s="368"/>
      <c r="Z454" s="368"/>
      <c r="AA454" s="368"/>
      <c r="AB454" s="368"/>
      <c r="AC454" s="368"/>
      <c r="AD454" s="368"/>
      <c r="AE454" s="368"/>
      <c r="AF454" s="369"/>
      <c r="AG454" s="369"/>
      <c r="AH454" s="368"/>
      <c r="AI454" s="368"/>
    </row>
    <row r="455" spans="1:35" x14ac:dyDescent="0.2">
      <c r="A455" s="368"/>
      <c r="B455" s="368"/>
      <c r="C455" s="368"/>
      <c r="D455" s="368"/>
      <c r="E455" s="368"/>
      <c r="F455" s="368"/>
      <c r="G455" s="368"/>
      <c r="H455" s="368"/>
      <c r="I455" s="368"/>
      <c r="J455" s="368"/>
      <c r="K455" s="368"/>
      <c r="L455" s="368"/>
      <c r="M455" s="368"/>
      <c r="N455" s="368"/>
      <c r="O455" s="368"/>
      <c r="P455" s="368"/>
      <c r="Q455" s="368"/>
      <c r="R455" s="368"/>
      <c r="S455" s="368"/>
      <c r="T455" s="368"/>
      <c r="U455" s="368"/>
      <c r="V455" s="368"/>
      <c r="W455" s="368"/>
      <c r="X455" s="368"/>
      <c r="Y455" s="368"/>
      <c r="Z455" s="368"/>
      <c r="AA455" s="368"/>
      <c r="AB455" s="368"/>
      <c r="AC455" s="368"/>
      <c r="AD455" s="368"/>
      <c r="AE455" s="368"/>
      <c r="AF455" s="369"/>
      <c r="AG455" s="369"/>
      <c r="AH455" s="368"/>
      <c r="AI455" s="368"/>
    </row>
    <row r="456" spans="1:35" x14ac:dyDescent="0.2">
      <c r="A456" s="368"/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8"/>
      <c r="Y456" s="368"/>
      <c r="Z456" s="368"/>
      <c r="AA456" s="368"/>
      <c r="AB456" s="368"/>
      <c r="AC456" s="368"/>
      <c r="AD456" s="368"/>
      <c r="AE456" s="368"/>
      <c r="AF456" s="369"/>
      <c r="AG456" s="369"/>
      <c r="AH456" s="368"/>
      <c r="AI456" s="368"/>
    </row>
    <row r="457" spans="1:35" x14ac:dyDescent="0.2">
      <c r="A457" s="368"/>
      <c r="B457" s="368"/>
      <c r="C457" s="368"/>
      <c r="D457" s="368"/>
      <c r="E457" s="368"/>
      <c r="F457" s="368"/>
      <c r="G457" s="368"/>
      <c r="H457" s="368"/>
      <c r="I457" s="36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/>
      <c r="U457" s="368"/>
      <c r="V457" s="368"/>
      <c r="W457" s="368"/>
      <c r="X457" s="368"/>
      <c r="Y457" s="368"/>
      <c r="Z457" s="368"/>
      <c r="AA457" s="368"/>
      <c r="AB457" s="368"/>
      <c r="AC457" s="368"/>
      <c r="AD457" s="368"/>
      <c r="AE457" s="368"/>
      <c r="AF457" s="369"/>
      <c r="AG457" s="369"/>
      <c r="AH457" s="368"/>
      <c r="AI457" s="368"/>
    </row>
    <row r="458" spans="1:35" x14ac:dyDescent="0.2">
      <c r="A458" s="368"/>
      <c r="B458" s="368"/>
      <c r="C458" s="368"/>
      <c r="D458" s="368"/>
      <c r="E458" s="368"/>
      <c r="F458" s="368"/>
      <c r="G458" s="368"/>
      <c r="H458" s="368"/>
      <c r="I458" s="368"/>
      <c r="J458" s="368"/>
      <c r="K458" s="368"/>
      <c r="L458" s="368"/>
      <c r="M458" s="368"/>
      <c r="N458" s="368"/>
      <c r="O458" s="368"/>
      <c r="P458" s="368"/>
      <c r="Q458" s="368"/>
      <c r="R458" s="368"/>
      <c r="S458" s="368"/>
      <c r="T458" s="368"/>
      <c r="U458" s="368"/>
      <c r="V458" s="368"/>
      <c r="W458" s="368"/>
      <c r="X458" s="368"/>
      <c r="Y458" s="368"/>
      <c r="Z458" s="368"/>
      <c r="AA458" s="368"/>
      <c r="AB458" s="368"/>
      <c r="AC458" s="368"/>
      <c r="AD458" s="368"/>
      <c r="AE458" s="368"/>
      <c r="AF458" s="369"/>
      <c r="AG458" s="369"/>
      <c r="AH458" s="368"/>
      <c r="AI458" s="368"/>
    </row>
    <row r="459" spans="1:35" x14ac:dyDescent="0.2">
      <c r="A459" s="368"/>
      <c r="B459" s="368"/>
      <c r="C459" s="368"/>
      <c r="D459" s="368"/>
      <c r="E459" s="368"/>
      <c r="F459" s="368"/>
      <c r="G459" s="368"/>
      <c r="H459" s="368"/>
      <c r="I459" s="368"/>
      <c r="J459" s="368"/>
      <c r="K459" s="368"/>
      <c r="L459" s="368"/>
      <c r="M459" s="368"/>
      <c r="N459" s="368"/>
      <c r="O459" s="368"/>
      <c r="P459" s="368"/>
      <c r="Q459" s="368"/>
      <c r="R459" s="368"/>
      <c r="S459" s="368"/>
      <c r="T459" s="368"/>
      <c r="U459" s="368"/>
      <c r="V459" s="368"/>
      <c r="W459" s="368"/>
      <c r="X459" s="368"/>
      <c r="Y459" s="368"/>
      <c r="Z459" s="368"/>
      <c r="AA459" s="368"/>
      <c r="AB459" s="368"/>
      <c r="AC459" s="368"/>
      <c r="AD459" s="368"/>
      <c r="AE459" s="368"/>
      <c r="AF459" s="369"/>
      <c r="AG459" s="369"/>
      <c r="AH459" s="368"/>
      <c r="AI459" s="368"/>
    </row>
    <row r="460" spans="1:35" x14ac:dyDescent="0.2">
      <c r="A460" s="368"/>
      <c r="B460" s="368"/>
      <c r="C460" s="368"/>
      <c r="D460" s="368"/>
      <c r="E460" s="368"/>
      <c r="F460" s="368"/>
      <c r="G460" s="368"/>
      <c r="H460" s="368"/>
      <c r="I460" s="368"/>
      <c r="J460" s="368"/>
      <c r="K460" s="368"/>
      <c r="L460" s="368"/>
      <c r="M460" s="368"/>
      <c r="N460" s="368"/>
      <c r="O460" s="368"/>
      <c r="P460" s="368"/>
      <c r="Q460" s="368"/>
      <c r="R460" s="368"/>
      <c r="S460" s="368"/>
      <c r="T460" s="368"/>
      <c r="U460" s="368"/>
      <c r="V460" s="368"/>
      <c r="W460" s="368"/>
      <c r="X460" s="368"/>
      <c r="Y460" s="368"/>
      <c r="Z460" s="368"/>
      <c r="AA460" s="368"/>
      <c r="AB460" s="368"/>
      <c r="AC460" s="368"/>
      <c r="AD460" s="368"/>
      <c r="AE460" s="368"/>
      <c r="AF460" s="369"/>
      <c r="AG460" s="369"/>
      <c r="AH460" s="368"/>
      <c r="AI460" s="368"/>
    </row>
    <row r="461" spans="1:35" x14ac:dyDescent="0.2">
      <c r="A461" s="368"/>
      <c r="B461" s="368"/>
      <c r="C461" s="368"/>
      <c r="D461" s="368"/>
      <c r="E461" s="368"/>
      <c r="F461" s="368"/>
      <c r="G461" s="368"/>
      <c r="H461" s="368"/>
      <c r="I461" s="368"/>
      <c r="J461" s="368"/>
      <c r="K461" s="368"/>
      <c r="L461" s="368"/>
      <c r="M461" s="368"/>
      <c r="N461" s="368"/>
      <c r="O461" s="368"/>
      <c r="P461" s="368"/>
      <c r="Q461" s="368"/>
      <c r="R461" s="368"/>
      <c r="S461" s="368"/>
      <c r="T461" s="368"/>
      <c r="U461" s="368"/>
      <c r="V461" s="368"/>
      <c r="W461" s="368"/>
      <c r="X461" s="368"/>
      <c r="Y461" s="368"/>
      <c r="Z461" s="368"/>
      <c r="AA461" s="368"/>
      <c r="AB461" s="368"/>
      <c r="AC461" s="368"/>
      <c r="AD461" s="368"/>
      <c r="AE461" s="368"/>
      <c r="AF461" s="369"/>
      <c r="AG461" s="369"/>
      <c r="AH461" s="368"/>
      <c r="AI461" s="368"/>
    </row>
    <row r="462" spans="1:35" x14ac:dyDescent="0.2">
      <c r="A462" s="368"/>
      <c r="B462" s="368"/>
      <c r="C462" s="368"/>
      <c r="D462" s="368"/>
      <c r="E462" s="368"/>
      <c r="F462" s="368"/>
      <c r="G462" s="368"/>
      <c r="H462" s="368"/>
      <c r="I462" s="368"/>
      <c r="J462" s="368"/>
      <c r="K462" s="368"/>
      <c r="L462" s="368"/>
      <c r="M462" s="368"/>
      <c r="N462" s="368"/>
      <c r="O462" s="368"/>
      <c r="P462" s="368"/>
      <c r="Q462" s="368"/>
      <c r="R462" s="368"/>
      <c r="S462" s="368"/>
      <c r="T462" s="368"/>
      <c r="U462" s="368"/>
      <c r="V462" s="368"/>
      <c r="W462" s="368"/>
      <c r="X462" s="368"/>
      <c r="Y462" s="368"/>
      <c r="Z462" s="368"/>
      <c r="AA462" s="368"/>
      <c r="AB462" s="368"/>
      <c r="AC462" s="368"/>
      <c r="AD462" s="368"/>
      <c r="AE462" s="368"/>
      <c r="AF462" s="369"/>
      <c r="AG462" s="369"/>
      <c r="AH462" s="368"/>
      <c r="AI462" s="368"/>
    </row>
    <row r="463" spans="1:35" x14ac:dyDescent="0.2">
      <c r="A463" s="368"/>
      <c r="B463" s="368"/>
      <c r="C463" s="368"/>
      <c r="D463" s="368"/>
      <c r="E463" s="368"/>
      <c r="F463" s="368"/>
      <c r="G463" s="368"/>
      <c r="H463" s="368"/>
      <c r="I463" s="368"/>
      <c r="J463" s="368"/>
      <c r="K463" s="368"/>
      <c r="L463" s="368"/>
      <c r="M463" s="368"/>
      <c r="N463" s="368"/>
      <c r="O463" s="368"/>
      <c r="P463" s="368"/>
      <c r="Q463" s="368"/>
      <c r="R463" s="368"/>
      <c r="S463" s="368"/>
      <c r="T463" s="368"/>
      <c r="U463" s="368"/>
      <c r="V463" s="368"/>
      <c r="W463" s="368"/>
      <c r="X463" s="368"/>
      <c r="Y463" s="368"/>
      <c r="Z463" s="368"/>
      <c r="AA463" s="368"/>
      <c r="AB463" s="368"/>
      <c r="AC463" s="368"/>
      <c r="AD463" s="368"/>
      <c r="AE463" s="368"/>
      <c r="AF463" s="369"/>
      <c r="AG463" s="369"/>
      <c r="AH463" s="368"/>
      <c r="AI463" s="368"/>
    </row>
    <row r="464" spans="1:35" x14ac:dyDescent="0.2">
      <c r="A464" s="368"/>
      <c r="B464" s="368"/>
      <c r="C464" s="368"/>
      <c r="D464" s="368"/>
      <c r="E464" s="368"/>
      <c r="F464" s="368"/>
      <c r="G464" s="368"/>
      <c r="H464" s="368"/>
      <c r="I464" s="368"/>
      <c r="J464" s="368"/>
      <c r="K464" s="368"/>
      <c r="L464" s="368"/>
      <c r="M464" s="368"/>
      <c r="N464" s="368"/>
      <c r="O464" s="368"/>
      <c r="P464" s="368"/>
      <c r="Q464" s="368"/>
      <c r="R464" s="368"/>
      <c r="S464" s="368"/>
      <c r="T464" s="368"/>
      <c r="U464" s="368"/>
      <c r="V464" s="368"/>
      <c r="W464" s="368"/>
      <c r="X464" s="368"/>
      <c r="Y464" s="368"/>
      <c r="Z464" s="368"/>
      <c r="AA464" s="368"/>
      <c r="AB464" s="368"/>
      <c r="AC464" s="368"/>
      <c r="AD464" s="368"/>
      <c r="AE464" s="368"/>
      <c r="AF464" s="369"/>
      <c r="AG464" s="369"/>
      <c r="AH464" s="368"/>
      <c r="AI464" s="368"/>
    </row>
    <row r="465" spans="1:35" x14ac:dyDescent="0.2">
      <c r="A465" s="368"/>
      <c r="B465" s="368"/>
      <c r="C465" s="368"/>
      <c r="D465" s="368"/>
      <c r="E465" s="368"/>
      <c r="F465" s="368"/>
      <c r="G465" s="368"/>
      <c r="H465" s="368"/>
      <c r="I465" s="368"/>
      <c r="J465" s="368"/>
      <c r="K465" s="368"/>
      <c r="L465" s="368"/>
      <c r="M465" s="368"/>
      <c r="N465" s="368"/>
      <c r="O465" s="368"/>
      <c r="P465" s="368"/>
      <c r="Q465" s="368"/>
      <c r="R465" s="368"/>
      <c r="S465" s="368"/>
      <c r="T465" s="368"/>
      <c r="U465" s="368"/>
      <c r="V465" s="368"/>
      <c r="W465" s="368"/>
      <c r="X465" s="368"/>
      <c r="Y465" s="368"/>
      <c r="Z465" s="368"/>
      <c r="AA465" s="368"/>
      <c r="AB465" s="368"/>
      <c r="AC465" s="368"/>
      <c r="AD465" s="368"/>
      <c r="AE465" s="368"/>
      <c r="AF465" s="369"/>
      <c r="AG465" s="369"/>
      <c r="AH465" s="368"/>
      <c r="AI465" s="368"/>
    </row>
    <row r="466" spans="1:35" x14ac:dyDescent="0.2">
      <c r="A466" s="368"/>
      <c r="B466" s="368"/>
      <c r="C466" s="368"/>
      <c r="D466" s="368"/>
      <c r="E466" s="368"/>
      <c r="F466" s="368"/>
      <c r="G466" s="368"/>
      <c r="H466" s="368"/>
      <c r="I466" s="368"/>
      <c r="J466" s="368"/>
      <c r="K466" s="368"/>
      <c r="L466" s="368"/>
      <c r="M466" s="368"/>
      <c r="N466" s="368"/>
      <c r="O466" s="368"/>
      <c r="P466" s="368"/>
      <c r="Q466" s="368"/>
      <c r="R466" s="368"/>
      <c r="S466" s="368"/>
      <c r="T466" s="368"/>
      <c r="U466" s="368"/>
      <c r="V466" s="368"/>
      <c r="W466" s="368"/>
      <c r="X466" s="368"/>
      <c r="Y466" s="368"/>
      <c r="Z466" s="368"/>
      <c r="AA466" s="368"/>
      <c r="AB466" s="368"/>
      <c r="AC466" s="368"/>
      <c r="AD466" s="368"/>
      <c r="AE466" s="368"/>
      <c r="AF466" s="369"/>
      <c r="AG466" s="369"/>
      <c r="AH466" s="368"/>
      <c r="AI466" s="368"/>
    </row>
    <row r="467" spans="1:35" x14ac:dyDescent="0.2">
      <c r="A467" s="368"/>
      <c r="B467" s="368"/>
      <c r="C467" s="368"/>
      <c r="D467" s="368"/>
      <c r="E467" s="368"/>
      <c r="F467" s="368"/>
      <c r="G467" s="368"/>
      <c r="H467" s="368"/>
      <c r="I467" s="368"/>
      <c r="J467" s="368"/>
      <c r="K467" s="368"/>
      <c r="L467" s="368"/>
      <c r="M467" s="368"/>
      <c r="N467" s="368"/>
      <c r="O467" s="368"/>
      <c r="P467" s="368"/>
      <c r="Q467" s="368"/>
      <c r="R467" s="368"/>
      <c r="S467" s="368"/>
      <c r="T467" s="368"/>
      <c r="U467" s="368"/>
      <c r="V467" s="368"/>
      <c r="W467" s="368"/>
      <c r="X467" s="368"/>
      <c r="Y467" s="368"/>
      <c r="Z467" s="368"/>
      <c r="AA467" s="368"/>
      <c r="AB467" s="368"/>
      <c r="AC467" s="368"/>
      <c r="AD467" s="368"/>
      <c r="AE467" s="368"/>
      <c r="AF467" s="369"/>
      <c r="AG467" s="369"/>
      <c r="AH467" s="368"/>
      <c r="AI467" s="368"/>
    </row>
    <row r="468" spans="1:35" x14ac:dyDescent="0.2">
      <c r="A468" s="368"/>
      <c r="B468" s="368"/>
      <c r="C468" s="368"/>
      <c r="D468" s="368"/>
      <c r="E468" s="368"/>
      <c r="F468" s="368"/>
      <c r="G468" s="368"/>
      <c r="H468" s="368"/>
      <c r="I468" s="368"/>
      <c r="J468" s="368"/>
      <c r="K468" s="368"/>
      <c r="L468" s="368"/>
      <c r="M468" s="368"/>
      <c r="N468" s="368"/>
      <c r="O468" s="368"/>
      <c r="P468" s="368"/>
      <c r="Q468" s="368"/>
      <c r="R468" s="368"/>
      <c r="S468" s="368"/>
      <c r="T468" s="368"/>
      <c r="U468" s="368"/>
      <c r="V468" s="368"/>
      <c r="W468" s="368"/>
      <c r="X468" s="368"/>
      <c r="Y468" s="368"/>
      <c r="Z468" s="368"/>
      <c r="AA468" s="368"/>
      <c r="AB468" s="368"/>
      <c r="AC468" s="368"/>
      <c r="AD468" s="368"/>
      <c r="AE468" s="368"/>
      <c r="AF468" s="369"/>
      <c r="AG468" s="369"/>
      <c r="AH468" s="368"/>
      <c r="AI468" s="368"/>
    </row>
    <row r="469" spans="1:35" x14ac:dyDescent="0.2">
      <c r="A469" s="368"/>
      <c r="B469" s="368"/>
      <c r="C469" s="368"/>
      <c r="D469" s="368"/>
      <c r="E469" s="368"/>
      <c r="F469" s="368"/>
      <c r="G469" s="368"/>
      <c r="H469" s="368"/>
      <c r="I469" s="368"/>
      <c r="J469" s="368"/>
      <c r="K469" s="368"/>
      <c r="L469" s="368"/>
      <c r="M469" s="368"/>
      <c r="N469" s="368"/>
      <c r="O469" s="368"/>
      <c r="P469" s="368"/>
      <c r="Q469" s="368"/>
      <c r="R469" s="368"/>
      <c r="S469" s="368"/>
      <c r="T469" s="368"/>
      <c r="U469" s="368"/>
      <c r="V469" s="368"/>
      <c r="W469" s="368"/>
      <c r="X469" s="368"/>
      <c r="Y469" s="368"/>
      <c r="Z469" s="368"/>
      <c r="AA469" s="368"/>
      <c r="AB469" s="368"/>
      <c r="AC469" s="368"/>
      <c r="AD469" s="368"/>
      <c r="AE469" s="368"/>
      <c r="AF469" s="369"/>
      <c r="AG469" s="369"/>
      <c r="AH469" s="368"/>
      <c r="AI469" s="368"/>
    </row>
    <row r="470" spans="1:35" x14ac:dyDescent="0.2">
      <c r="A470" s="368"/>
      <c r="B470" s="368"/>
      <c r="C470" s="368"/>
      <c r="D470" s="368"/>
      <c r="E470" s="368"/>
      <c r="F470" s="368"/>
      <c r="G470" s="368"/>
      <c r="H470" s="368"/>
      <c r="I470" s="368"/>
      <c r="J470" s="368"/>
      <c r="K470" s="368"/>
      <c r="L470" s="368"/>
      <c r="M470" s="368"/>
      <c r="N470" s="368"/>
      <c r="O470" s="368"/>
      <c r="P470" s="368"/>
      <c r="Q470" s="368"/>
      <c r="R470" s="368"/>
      <c r="S470" s="368"/>
      <c r="T470" s="368"/>
      <c r="U470" s="368"/>
      <c r="V470" s="368"/>
      <c r="W470" s="368"/>
      <c r="X470" s="368"/>
      <c r="Y470" s="368"/>
      <c r="Z470" s="368"/>
      <c r="AA470" s="368"/>
      <c r="AB470" s="368"/>
      <c r="AC470" s="368"/>
      <c r="AD470" s="368"/>
      <c r="AE470" s="368"/>
      <c r="AF470" s="369"/>
      <c r="AG470" s="369"/>
      <c r="AH470" s="368"/>
      <c r="AI470" s="368"/>
    </row>
    <row r="471" spans="1:35" x14ac:dyDescent="0.2">
      <c r="A471" s="368"/>
      <c r="B471" s="368"/>
      <c r="C471" s="368"/>
      <c r="D471" s="368"/>
      <c r="E471" s="368"/>
      <c r="F471" s="368"/>
      <c r="G471" s="368"/>
      <c r="H471" s="368"/>
      <c r="I471" s="368"/>
      <c r="J471" s="368"/>
      <c r="K471" s="368"/>
      <c r="L471" s="368"/>
      <c r="M471" s="368"/>
      <c r="N471" s="368"/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8"/>
      <c r="AA471" s="368"/>
      <c r="AB471" s="368"/>
      <c r="AC471" s="368"/>
      <c r="AD471" s="368"/>
      <c r="AE471" s="368"/>
      <c r="AF471" s="369"/>
      <c r="AG471" s="369"/>
      <c r="AH471" s="368"/>
      <c r="AI471" s="368"/>
    </row>
    <row r="472" spans="1:35" x14ac:dyDescent="0.2">
      <c r="A472" s="368"/>
      <c r="B472" s="368"/>
      <c r="C472" s="368"/>
      <c r="D472" s="368"/>
      <c r="E472" s="368"/>
      <c r="F472" s="368"/>
      <c r="G472" s="368"/>
      <c r="H472" s="368"/>
      <c r="I472" s="368"/>
      <c r="J472" s="368"/>
      <c r="K472" s="368"/>
      <c r="L472" s="368"/>
      <c r="M472" s="368"/>
      <c r="N472" s="368"/>
      <c r="O472" s="368"/>
      <c r="P472" s="368"/>
      <c r="Q472" s="368"/>
      <c r="R472" s="368"/>
      <c r="S472" s="368"/>
      <c r="T472" s="368"/>
      <c r="U472" s="368"/>
      <c r="V472" s="368"/>
      <c r="W472" s="368"/>
      <c r="X472" s="368"/>
      <c r="Y472" s="368"/>
      <c r="Z472" s="368"/>
      <c r="AA472" s="368"/>
      <c r="AB472" s="368"/>
      <c r="AC472" s="368"/>
      <c r="AD472" s="368"/>
      <c r="AE472" s="368"/>
      <c r="AF472" s="369"/>
      <c r="AG472" s="369"/>
      <c r="AH472" s="368"/>
      <c r="AI472" s="368"/>
    </row>
    <row r="473" spans="1:35" x14ac:dyDescent="0.2">
      <c r="A473" s="368"/>
      <c r="B473" s="368"/>
      <c r="C473" s="368"/>
      <c r="D473" s="368"/>
      <c r="E473" s="368"/>
      <c r="F473" s="368"/>
      <c r="G473" s="368"/>
      <c r="H473" s="368"/>
      <c r="I473" s="368"/>
      <c r="J473" s="368"/>
      <c r="K473" s="368"/>
      <c r="L473" s="368"/>
      <c r="M473" s="368"/>
      <c r="N473" s="368"/>
      <c r="O473" s="368"/>
      <c r="P473" s="368"/>
      <c r="Q473" s="368"/>
      <c r="R473" s="368"/>
      <c r="S473" s="368"/>
      <c r="T473" s="368"/>
      <c r="U473" s="368"/>
      <c r="V473" s="368"/>
      <c r="W473" s="368"/>
      <c r="X473" s="368"/>
      <c r="Y473" s="368"/>
      <c r="Z473" s="368"/>
      <c r="AA473" s="368"/>
      <c r="AB473" s="368"/>
      <c r="AC473" s="368"/>
      <c r="AD473" s="368"/>
      <c r="AE473" s="368"/>
      <c r="AF473" s="369"/>
      <c r="AG473" s="369"/>
      <c r="AH473" s="368"/>
      <c r="AI473" s="368"/>
    </row>
    <row r="474" spans="1:35" x14ac:dyDescent="0.2">
      <c r="A474" s="368"/>
      <c r="B474" s="368"/>
      <c r="C474" s="368"/>
      <c r="D474" s="368"/>
      <c r="E474" s="368"/>
      <c r="F474" s="368"/>
      <c r="G474" s="368"/>
      <c r="H474" s="368"/>
      <c r="I474" s="368"/>
      <c r="J474" s="368"/>
      <c r="K474" s="368"/>
      <c r="L474" s="368"/>
      <c r="M474" s="368"/>
      <c r="N474" s="368"/>
      <c r="O474" s="368"/>
      <c r="P474" s="368"/>
      <c r="Q474" s="368"/>
      <c r="R474" s="368"/>
      <c r="S474" s="368"/>
      <c r="T474" s="368"/>
      <c r="U474" s="368"/>
      <c r="V474" s="368"/>
      <c r="W474" s="368"/>
      <c r="X474" s="368"/>
      <c r="Y474" s="368"/>
      <c r="Z474" s="368"/>
      <c r="AA474" s="368"/>
      <c r="AB474" s="368"/>
      <c r="AC474" s="368"/>
      <c r="AD474" s="368"/>
      <c r="AE474" s="368"/>
      <c r="AF474" s="369"/>
      <c r="AG474" s="369"/>
      <c r="AH474" s="368"/>
      <c r="AI474" s="368"/>
    </row>
    <row r="475" spans="1:35" x14ac:dyDescent="0.2">
      <c r="A475" s="368"/>
      <c r="B475" s="368"/>
      <c r="C475" s="368"/>
      <c r="D475" s="368"/>
      <c r="E475" s="368"/>
      <c r="F475" s="368"/>
      <c r="G475" s="368"/>
      <c r="H475" s="368"/>
      <c r="I475" s="368"/>
      <c r="J475" s="368"/>
      <c r="K475" s="368"/>
      <c r="L475" s="368"/>
      <c r="M475" s="368"/>
      <c r="N475" s="368"/>
      <c r="O475" s="368"/>
      <c r="P475" s="368"/>
      <c r="Q475" s="368"/>
      <c r="R475" s="368"/>
      <c r="S475" s="368"/>
      <c r="T475" s="368"/>
      <c r="U475" s="368"/>
      <c r="V475" s="368"/>
      <c r="W475" s="368"/>
      <c r="X475" s="368"/>
      <c r="Y475" s="368"/>
      <c r="Z475" s="368"/>
      <c r="AA475" s="368"/>
      <c r="AB475" s="368"/>
      <c r="AC475" s="368"/>
      <c r="AD475" s="368"/>
      <c r="AE475" s="368"/>
      <c r="AF475" s="369"/>
      <c r="AG475" s="369"/>
      <c r="AH475" s="368"/>
      <c r="AI475" s="368"/>
    </row>
    <row r="476" spans="1:35" x14ac:dyDescent="0.2">
      <c r="A476" s="368"/>
      <c r="B476" s="368"/>
      <c r="C476" s="368"/>
      <c r="D476" s="368"/>
      <c r="E476" s="368"/>
      <c r="F476" s="368"/>
      <c r="G476" s="368"/>
      <c r="H476" s="368"/>
      <c r="I476" s="368"/>
      <c r="J476" s="368"/>
      <c r="K476" s="368"/>
      <c r="L476" s="368"/>
      <c r="M476" s="368"/>
      <c r="N476" s="368"/>
      <c r="O476" s="368"/>
      <c r="P476" s="368"/>
      <c r="Q476" s="368"/>
      <c r="R476" s="368"/>
      <c r="S476" s="368"/>
      <c r="T476" s="368"/>
      <c r="U476" s="368"/>
      <c r="V476" s="368"/>
      <c r="W476" s="368"/>
      <c r="X476" s="368"/>
      <c r="Y476" s="368"/>
      <c r="Z476" s="368"/>
      <c r="AA476" s="368"/>
      <c r="AB476" s="368"/>
      <c r="AC476" s="368"/>
      <c r="AD476" s="368"/>
      <c r="AE476" s="368"/>
      <c r="AF476" s="369"/>
      <c r="AG476" s="369"/>
      <c r="AH476" s="368"/>
      <c r="AI476" s="368"/>
    </row>
    <row r="477" spans="1:35" x14ac:dyDescent="0.2">
      <c r="A477" s="368"/>
      <c r="B477" s="368"/>
      <c r="C477" s="368"/>
      <c r="D477" s="368"/>
      <c r="E477" s="368"/>
      <c r="F477" s="368"/>
      <c r="G477" s="368"/>
      <c r="H477" s="368"/>
      <c r="I477" s="368"/>
      <c r="J477" s="368"/>
      <c r="K477" s="368"/>
      <c r="L477" s="368"/>
      <c r="M477" s="368"/>
      <c r="N477" s="368"/>
      <c r="O477" s="368"/>
      <c r="P477" s="368"/>
      <c r="Q477" s="368"/>
      <c r="R477" s="368"/>
      <c r="S477" s="368"/>
      <c r="T477" s="368"/>
      <c r="U477" s="368"/>
      <c r="V477" s="368"/>
      <c r="W477" s="368"/>
      <c r="X477" s="368"/>
      <c r="Y477" s="368"/>
      <c r="Z477" s="368"/>
      <c r="AA477" s="368"/>
      <c r="AB477" s="368"/>
      <c r="AC477" s="368"/>
      <c r="AD477" s="368"/>
      <c r="AE477" s="368"/>
      <c r="AF477" s="369"/>
      <c r="AG477" s="369"/>
      <c r="AH477" s="368"/>
      <c r="AI477" s="368"/>
    </row>
    <row r="478" spans="1:35" x14ac:dyDescent="0.2">
      <c r="A478" s="368"/>
      <c r="B478" s="368"/>
      <c r="C478" s="368"/>
      <c r="D478" s="368"/>
      <c r="E478" s="368"/>
      <c r="F478" s="368"/>
      <c r="G478" s="368"/>
      <c r="H478" s="368"/>
      <c r="I478" s="368"/>
      <c r="J478" s="368"/>
      <c r="K478" s="368"/>
      <c r="L478" s="368"/>
      <c r="M478" s="368"/>
      <c r="N478" s="368"/>
      <c r="O478" s="368"/>
      <c r="P478" s="368"/>
      <c r="Q478" s="368"/>
      <c r="R478" s="368"/>
      <c r="S478" s="368"/>
      <c r="T478" s="368"/>
      <c r="U478" s="368"/>
      <c r="V478" s="368"/>
      <c r="W478" s="368"/>
      <c r="X478" s="368"/>
      <c r="Y478" s="368"/>
      <c r="Z478" s="368"/>
      <c r="AA478" s="368"/>
      <c r="AB478" s="368"/>
      <c r="AC478" s="368"/>
      <c r="AD478" s="368"/>
      <c r="AE478" s="368"/>
      <c r="AF478" s="369"/>
      <c r="AG478" s="369"/>
      <c r="AH478" s="368"/>
      <c r="AI478" s="368"/>
    </row>
    <row r="479" spans="1:35" x14ac:dyDescent="0.2">
      <c r="A479" s="368"/>
      <c r="B479" s="368"/>
      <c r="C479" s="368"/>
      <c r="D479" s="368"/>
      <c r="E479" s="368"/>
      <c r="F479" s="368"/>
      <c r="G479" s="368"/>
      <c r="H479" s="368"/>
      <c r="I479" s="368"/>
      <c r="J479" s="368"/>
      <c r="K479" s="368"/>
      <c r="L479" s="368"/>
      <c r="M479" s="368"/>
      <c r="N479" s="368"/>
      <c r="O479" s="368"/>
      <c r="P479" s="368"/>
      <c r="Q479" s="368"/>
      <c r="R479" s="368"/>
      <c r="S479" s="368"/>
      <c r="T479" s="368"/>
      <c r="U479" s="368"/>
      <c r="V479" s="368"/>
      <c r="W479" s="368"/>
      <c r="X479" s="368"/>
      <c r="Y479" s="368"/>
      <c r="Z479" s="368"/>
      <c r="AA479" s="368"/>
      <c r="AB479" s="368"/>
      <c r="AC479" s="368"/>
      <c r="AD479" s="368"/>
      <c r="AE479" s="368"/>
      <c r="AF479" s="369"/>
      <c r="AG479" s="369"/>
      <c r="AH479" s="368"/>
      <c r="AI479" s="368"/>
    </row>
    <row r="480" spans="1:35" x14ac:dyDescent="0.2">
      <c r="A480" s="368"/>
      <c r="B480" s="368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  <c r="P480" s="368"/>
      <c r="Q480" s="368"/>
      <c r="R480" s="368"/>
      <c r="S480" s="368"/>
      <c r="T480" s="368"/>
      <c r="U480" s="368"/>
      <c r="V480" s="368"/>
      <c r="W480" s="368"/>
      <c r="X480" s="368"/>
      <c r="Y480" s="368"/>
      <c r="Z480" s="368"/>
      <c r="AA480" s="368"/>
      <c r="AB480" s="368"/>
      <c r="AC480" s="368"/>
      <c r="AD480" s="368"/>
      <c r="AE480" s="368"/>
      <c r="AF480" s="369"/>
      <c r="AG480" s="369"/>
      <c r="AH480" s="368"/>
      <c r="AI480" s="368"/>
    </row>
    <row r="481" spans="1:35" x14ac:dyDescent="0.2">
      <c r="A481" s="368"/>
      <c r="B481" s="368"/>
      <c r="C481" s="368"/>
      <c r="D481" s="368"/>
      <c r="E481" s="368"/>
      <c r="F481" s="368"/>
      <c r="G481" s="368"/>
      <c r="H481" s="368"/>
      <c r="I481" s="368"/>
      <c r="J481" s="368"/>
      <c r="K481" s="368"/>
      <c r="L481" s="368"/>
      <c r="M481" s="368"/>
      <c r="N481" s="368"/>
      <c r="O481" s="368"/>
      <c r="P481" s="368"/>
      <c r="Q481" s="368"/>
      <c r="R481" s="368"/>
      <c r="S481" s="368"/>
      <c r="T481" s="368"/>
      <c r="U481" s="368"/>
      <c r="V481" s="368"/>
      <c r="W481" s="368"/>
      <c r="X481" s="368"/>
      <c r="Y481" s="368"/>
      <c r="Z481" s="368"/>
      <c r="AA481" s="368"/>
      <c r="AB481" s="368"/>
      <c r="AC481" s="368"/>
      <c r="AD481" s="368"/>
      <c r="AE481" s="368"/>
      <c r="AF481" s="369"/>
      <c r="AG481" s="369"/>
      <c r="AH481" s="368"/>
      <c r="AI481" s="368"/>
    </row>
    <row r="482" spans="1:35" x14ac:dyDescent="0.2">
      <c r="A482" s="368"/>
      <c r="B482" s="368"/>
      <c r="C482" s="368"/>
      <c r="D482" s="368"/>
      <c r="E482" s="368"/>
      <c r="F482" s="368"/>
      <c r="G482" s="368"/>
      <c r="H482" s="368"/>
      <c r="I482" s="368"/>
      <c r="J482" s="368"/>
      <c r="K482" s="368"/>
      <c r="L482" s="368"/>
      <c r="M482" s="368"/>
      <c r="N482" s="368"/>
      <c r="O482" s="368"/>
      <c r="P482" s="368"/>
      <c r="Q482" s="368"/>
      <c r="R482" s="368"/>
      <c r="S482" s="368"/>
      <c r="T482" s="368"/>
      <c r="U482" s="368"/>
      <c r="V482" s="368"/>
      <c r="W482" s="368"/>
      <c r="X482" s="368"/>
      <c r="Y482" s="368"/>
      <c r="Z482" s="368"/>
      <c r="AA482" s="368"/>
      <c r="AB482" s="368"/>
      <c r="AC482" s="368"/>
      <c r="AD482" s="368"/>
      <c r="AE482" s="368"/>
      <c r="AF482" s="369"/>
      <c r="AG482" s="369"/>
      <c r="AH482" s="368"/>
      <c r="AI482" s="368"/>
    </row>
    <row r="483" spans="1:35" x14ac:dyDescent="0.2">
      <c r="A483" s="368"/>
      <c r="B483" s="368"/>
      <c r="C483" s="368"/>
      <c r="D483" s="368"/>
      <c r="E483" s="368"/>
      <c r="F483" s="368"/>
      <c r="G483" s="368"/>
      <c r="H483" s="368"/>
      <c r="I483" s="368"/>
      <c r="J483" s="368"/>
      <c r="K483" s="368"/>
      <c r="L483" s="368"/>
      <c r="M483" s="368"/>
      <c r="N483" s="368"/>
      <c r="O483" s="368"/>
      <c r="P483" s="368"/>
      <c r="Q483" s="368"/>
      <c r="R483" s="368"/>
      <c r="S483" s="368"/>
      <c r="T483" s="368"/>
      <c r="U483" s="368"/>
      <c r="V483" s="368"/>
      <c r="W483" s="368"/>
      <c r="X483" s="368"/>
      <c r="Y483" s="368"/>
      <c r="Z483" s="368"/>
      <c r="AA483" s="368"/>
      <c r="AB483" s="368"/>
      <c r="AC483" s="368"/>
      <c r="AD483" s="368"/>
      <c r="AE483" s="368"/>
      <c r="AF483" s="369"/>
      <c r="AG483" s="369"/>
      <c r="AH483" s="368"/>
      <c r="AI483" s="368"/>
    </row>
    <row r="484" spans="1:35" x14ac:dyDescent="0.2">
      <c r="A484" s="368"/>
      <c r="B484" s="368"/>
      <c r="C484" s="368"/>
      <c r="D484" s="368"/>
      <c r="E484" s="368"/>
      <c r="F484" s="368"/>
      <c r="G484" s="368"/>
      <c r="H484" s="368"/>
      <c r="I484" s="368"/>
      <c r="J484" s="368"/>
      <c r="K484" s="368"/>
      <c r="L484" s="368"/>
      <c r="M484" s="368"/>
      <c r="N484" s="368"/>
      <c r="O484" s="368"/>
      <c r="P484" s="368"/>
      <c r="Q484" s="368"/>
      <c r="R484" s="368"/>
      <c r="S484" s="368"/>
      <c r="T484" s="368"/>
      <c r="U484" s="368"/>
      <c r="V484" s="368"/>
      <c r="W484" s="368"/>
      <c r="X484" s="368"/>
      <c r="Y484" s="368"/>
      <c r="Z484" s="368"/>
      <c r="AA484" s="368"/>
      <c r="AB484" s="368"/>
      <c r="AC484" s="368"/>
      <c r="AD484" s="368"/>
      <c r="AE484" s="368"/>
      <c r="AF484" s="369"/>
      <c r="AG484" s="369"/>
      <c r="AH484" s="368"/>
      <c r="AI484" s="368"/>
    </row>
    <row r="485" spans="1:35" x14ac:dyDescent="0.2">
      <c r="A485" s="368"/>
      <c r="B485" s="368"/>
      <c r="C485" s="368"/>
      <c r="D485" s="368"/>
      <c r="E485" s="368"/>
      <c r="F485" s="368"/>
      <c r="G485" s="368"/>
      <c r="H485" s="368"/>
      <c r="I485" s="368"/>
      <c r="J485" s="368"/>
      <c r="K485" s="368"/>
      <c r="L485" s="368"/>
      <c r="M485" s="368"/>
      <c r="N485" s="368"/>
      <c r="O485" s="368"/>
      <c r="P485" s="368"/>
      <c r="Q485" s="368"/>
      <c r="R485" s="368"/>
      <c r="S485" s="368"/>
      <c r="T485" s="368"/>
      <c r="U485" s="368"/>
      <c r="V485" s="368"/>
      <c r="W485" s="368"/>
      <c r="X485" s="368"/>
      <c r="Y485" s="368"/>
      <c r="Z485" s="368"/>
      <c r="AA485" s="368"/>
      <c r="AB485" s="368"/>
      <c r="AC485" s="368"/>
      <c r="AD485" s="368"/>
      <c r="AE485" s="368"/>
      <c r="AF485" s="369"/>
      <c r="AG485" s="369"/>
      <c r="AH485" s="368"/>
      <c r="AI485" s="368"/>
    </row>
    <row r="486" spans="1:35" x14ac:dyDescent="0.2">
      <c r="A486" s="368"/>
      <c r="B486" s="368"/>
      <c r="C486" s="368"/>
      <c r="D486" s="368"/>
      <c r="E486" s="368"/>
      <c r="F486" s="368"/>
      <c r="G486" s="368"/>
      <c r="H486" s="368"/>
      <c r="I486" s="368"/>
      <c r="J486" s="368"/>
      <c r="K486" s="368"/>
      <c r="L486" s="368"/>
      <c r="M486" s="368"/>
      <c r="N486" s="368"/>
      <c r="O486" s="368"/>
      <c r="P486" s="368"/>
      <c r="Q486" s="368"/>
      <c r="R486" s="368"/>
      <c r="S486" s="368"/>
      <c r="T486" s="368"/>
      <c r="U486" s="368"/>
      <c r="V486" s="368"/>
      <c r="W486" s="368"/>
      <c r="X486" s="368"/>
      <c r="Y486" s="368"/>
      <c r="Z486" s="368"/>
      <c r="AA486" s="368"/>
      <c r="AB486" s="368"/>
      <c r="AC486" s="368"/>
      <c r="AD486" s="368"/>
      <c r="AE486" s="368"/>
      <c r="AF486" s="369"/>
      <c r="AG486" s="369"/>
      <c r="AH486" s="368"/>
      <c r="AI486" s="368"/>
    </row>
    <row r="487" spans="1:35" x14ac:dyDescent="0.2">
      <c r="A487" s="368"/>
      <c r="B487" s="368"/>
      <c r="C487" s="368"/>
      <c r="D487" s="368"/>
      <c r="E487" s="368"/>
      <c r="F487" s="368"/>
      <c r="G487" s="368"/>
      <c r="H487" s="368"/>
      <c r="I487" s="368"/>
      <c r="J487" s="368"/>
      <c r="K487" s="368"/>
      <c r="L487" s="368"/>
      <c r="M487" s="368"/>
      <c r="N487" s="368"/>
      <c r="O487" s="368"/>
      <c r="P487" s="368"/>
      <c r="Q487" s="368"/>
      <c r="R487" s="368"/>
      <c r="S487" s="368"/>
      <c r="T487" s="368"/>
      <c r="U487" s="368"/>
      <c r="V487" s="368"/>
      <c r="W487" s="368"/>
      <c r="X487" s="368"/>
      <c r="Y487" s="368"/>
      <c r="Z487" s="368"/>
      <c r="AA487" s="368"/>
      <c r="AB487" s="368"/>
      <c r="AC487" s="368"/>
      <c r="AD487" s="368"/>
      <c r="AE487" s="368"/>
      <c r="AF487" s="369"/>
      <c r="AG487" s="369"/>
      <c r="AH487" s="368"/>
      <c r="AI487" s="368"/>
    </row>
    <row r="488" spans="1:35" x14ac:dyDescent="0.2">
      <c r="A488" s="368"/>
      <c r="B488" s="368"/>
      <c r="C488" s="368"/>
      <c r="D488" s="368"/>
      <c r="E488" s="368"/>
      <c r="F488" s="368"/>
      <c r="G488" s="368"/>
      <c r="H488" s="368"/>
      <c r="I488" s="368"/>
      <c r="J488" s="368"/>
      <c r="K488" s="368"/>
      <c r="L488" s="368"/>
      <c r="M488" s="368"/>
      <c r="N488" s="368"/>
      <c r="O488" s="368"/>
      <c r="P488" s="368"/>
      <c r="Q488" s="368"/>
      <c r="R488" s="368"/>
      <c r="S488" s="368"/>
      <c r="T488" s="368"/>
      <c r="U488" s="368"/>
      <c r="V488" s="368"/>
      <c r="W488" s="368"/>
      <c r="X488" s="368"/>
      <c r="Y488" s="368"/>
      <c r="Z488" s="368"/>
      <c r="AA488" s="368"/>
      <c r="AB488" s="368"/>
      <c r="AC488" s="368"/>
      <c r="AD488" s="368"/>
      <c r="AE488" s="368"/>
      <c r="AF488" s="369"/>
      <c r="AG488" s="369"/>
      <c r="AH488" s="368"/>
      <c r="AI488" s="368"/>
    </row>
    <row r="489" spans="1:35" x14ac:dyDescent="0.2">
      <c r="A489" s="368"/>
      <c r="B489" s="368"/>
      <c r="C489" s="368"/>
      <c r="D489" s="368"/>
      <c r="E489" s="368"/>
      <c r="F489" s="368"/>
      <c r="G489" s="368"/>
      <c r="H489" s="368"/>
      <c r="I489" s="368"/>
      <c r="J489" s="368"/>
      <c r="K489" s="368"/>
      <c r="L489" s="368"/>
      <c r="M489" s="368"/>
      <c r="N489" s="368"/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8"/>
      <c r="AA489" s="368"/>
      <c r="AB489" s="368"/>
      <c r="AC489" s="368"/>
      <c r="AD489" s="368"/>
      <c r="AE489" s="368"/>
      <c r="AF489" s="369"/>
      <c r="AG489" s="369"/>
      <c r="AH489" s="368"/>
      <c r="AI489" s="368"/>
    </row>
    <row r="490" spans="1:35" x14ac:dyDescent="0.2">
      <c r="A490" s="368"/>
      <c r="B490" s="368"/>
      <c r="C490" s="368"/>
      <c r="D490" s="368"/>
      <c r="E490" s="368"/>
      <c r="F490" s="368"/>
      <c r="G490" s="368"/>
      <c r="H490" s="368"/>
      <c r="I490" s="368"/>
      <c r="J490" s="368"/>
      <c r="K490" s="368"/>
      <c r="L490" s="368"/>
      <c r="M490" s="368"/>
      <c r="N490" s="368"/>
      <c r="O490" s="368"/>
      <c r="P490" s="368"/>
      <c r="Q490" s="368"/>
      <c r="R490" s="368"/>
      <c r="S490" s="368"/>
      <c r="T490" s="368"/>
      <c r="U490" s="368"/>
      <c r="V490" s="368"/>
      <c r="W490" s="368"/>
      <c r="X490" s="368"/>
      <c r="Y490" s="368"/>
      <c r="Z490" s="368"/>
      <c r="AA490" s="368"/>
      <c r="AB490" s="368"/>
      <c r="AC490" s="368"/>
      <c r="AD490" s="368"/>
      <c r="AE490" s="368"/>
      <c r="AF490" s="369"/>
      <c r="AG490" s="369"/>
      <c r="AH490" s="368"/>
      <c r="AI490" s="368"/>
    </row>
    <row r="491" spans="1:35" x14ac:dyDescent="0.2">
      <c r="A491" s="368"/>
      <c r="B491" s="368"/>
      <c r="C491" s="368"/>
      <c r="D491" s="368"/>
      <c r="E491" s="368"/>
      <c r="F491" s="368"/>
      <c r="G491" s="368"/>
      <c r="H491" s="368"/>
      <c r="I491" s="368"/>
      <c r="J491" s="368"/>
      <c r="K491" s="368"/>
      <c r="L491" s="368"/>
      <c r="M491" s="368"/>
      <c r="N491" s="368"/>
      <c r="O491" s="368"/>
      <c r="P491" s="368"/>
      <c r="Q491" s="368"/>
      <c r="R491" s="368"/>
      <c r="S491" s="368"/>
      <c r="T491" s="368"/>
      <c r="U491" s="368"/>
      <c r="V491" s="368"/>
      <c r="W491" s="368"/>
      <c r="X491" s="368"/>
      <c r="Y491" s="368"/>
      <c r="Z491" s="368"/>
      <c r="AA491" s="368"/>
      <c r="AB491" s="368"/>
      <c r="AC491" s="368"/>
      <c r="AD491" s="368"/>
      <c r="AE491" s="368"/>
      <c r="AF491" s="369"/>
      <c r="AG491" s="369"/>
      <c r="AH491" s="368"/>
      <c r="AI491" s="368"/>
    </row>
    <row r="492" spans="1:35" x14ac:dyDescent="0.2">
      <c r="A492" s="368"/>
      <c r="B492" s="368"/>
      <c r="C492" s="368"/>
      <c r="D492" s="368"/>
      <c r="E492" s="368"/>
      <c r="F492" s="368"/>
      <c r="G492" s="368"/>
      <c r="H492" s="368"/>
      <c r="I492" s="368"/>
      <c r="J492" s="368"/>
      <c r="K492" s="368"/>
      <c r="L492" s="368"/>
      <c r="M492" s="368"/>
      <c r="N492" s="368"/>
      <c r="O492" s="368"/>
      <c r="P492" s="368"/>
      <c r="Q492" s="368"/>
      <c r="R492" s="368"/>
      <c r="S492" s="368"/>
      <c r="T492" s="368"/>
      <c r="U492" s="368"/>
      <c r="V492" s="368"/>
      <c r="W492" s="368"/>
      <c r="X492" s="368"/>
      <c r="Y492" s="368"/>
      <c r="Z492" s="368"/>
      <c r="AA492" s="368"/>
      <c r="AB492" s="368"/>
      <c r="AC492" s="368"/>
      <c r="AD492" s="368"/>
      <c r="AE492" s="368"/>
      <c r="AF492" s="369"/>
      <c r="AG492" s="369"/>
      <c r="AH492" s="368"/>
      <c r="AI492" s="368"/>
    </row>
    <row r="493" spans="1:35" x14ac:dyDescent="0.2">
      <c r="A493" s="368"/>
      <c r="B493" s="368"/>
      <c r="C493" s="368"/>
      <c r="D493" s="368"/>
      <c r="E493" s="368"/>
      <c r="F493" s="368"/>
      <c r="G493" s="368"/>
      <c r="H493" s="368"/>
      <c r="I493" s="36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8"/>
      <c r="Y493" s="368"/>
      <c r="Z493" s="368"/>
      <c r="AA493" s="368"/>
      <c r="AB493" s="368"/>
      <c r="AC493" s="368"/>
      <c r="AD493" s="368"/>
      <c r="AE493" s="368"/>
      <c r="AF493" s="369"/>
      <c r="AG493" s="369"/>
      <c r="AH493" s="368"/>
      <c r="AI493" s="368"/>
    </row>
    <row r="494" spans="1:35" x14ac:dyDescent="0.2">
      <c r="A494" s="368"/>
      <c r="B494" s="368"/>
      <c r="C494" s="368"/>
      <c r="D494" s="368"/>
      <c r="E494" s="368"/>
      <c r="F494" s="368"/>
      <c r="G494" s="368"/>
      <c r="H494" s="368"/>
      <c r="I494" s="368"/>
      <c r="J494" s="368"/>
      <c r="K494" s="368"/>
      <c r="L494" s="368"/>
      <c r="M494" s="368"/>
      <c r="N494" s="368"/>
      <c r="O494" s="368"/>
      <c r="P494" s="368"/>
      <c r="Q494" s="368"/>
      <c r="R494" s="368"/>
      <c r="S494" s="368"/>
      <c r="T494" s="368"/>
      <c r="U494" s="368"/>
      <c r="V494" s="368"/>
      <c r="W494" s="368"/>
      <c r="X494" s="368"/>
      <c r="Y494" s="368"/>
      <c r="Z494" s="368"/>
      <c r="AA494" s="368"/>
      <c r="AB494" s="368"/>
      <c r="AC494" s="368"/>
      <c r="AD494" s="368"/>
      <c r="AE494" s="368"/>
      <c r="AF494" s="369"/>
      <c r="AG494" s="369"/>
      <c r="AH494" s="368"/>
      <c r="AI494" s="368"/>
    </row>
    <row r="495" spans="1:35" x14ac:dyDescent="0.2">
      <c r="A495" s="368"/>
      <c r="B495" s="368"/>
      <c r="C495" s="368"/>
      <c r="D495" s="368"/>
      <c r="E495" s="368"/>
      <c r="F495" s="368"/>
      <c r="G495" s="368"/>
      <c r="H495" s="368"/>
      <c r="I495" s="368"/>
      <c r="J495" s="368"/>
      <c r="K495" s="368"/>
      <c r="L495" s="368"/>
      <c r="M495" s="368"/>
      <c r="N495" s="368"/>
      <c r="O495" s="368"/>
      <c r="P495" s="368"/>
      <c r="Q495" s="368"/>
      <c r="R495" s="368"/>
      <c r="S495" s="368"/>
      <c r="T495" s="368"/>
      <c r="U495" s="368"/>
      <c r="V495" s="368"/>
      <c r="W495" s="368"/>
      <c r="X495" s="368"/>
      <c r="Y495" s="368"/>
      <c r="Z495" s="368"/>
      <c r="AA495" s="368"/>
      <c r="AB495" s="368"/>
      <c r="AC495" s="368"/>
      <c r="AD495" s="368"/>
      <c r="AE495" s="368"/>
      <c r="AF495" s="369"/>
      <c r="AG495" s="369"/>
      <c r="AH495" s="368"/>
      <c r="AI495" s="368"/>
    </row>
    <row r="496" spans="1:35" x14ac:dyDescent="0.2">
      <c r="A496" s="368"/>
      <c r="B496" s="368"/>
      <c r="C496" s="368"/>
      <c r="D496" s="368"/>
      <c r="E496" s="368"/>
      <c r="F496" s="368"/>
      <c r="G496" s="368"/>
      <c r="H496" s="368"/>
      <c r="I496" s="36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8"/>
      <c r="Y496" s="368"/>
      <c r="Z496" s="368"/>
      <c r="AA496" s="368"/>
      <c r="AB496" s="368"/>
      <c r="AC496" s="368"/>
      <c r="AD496" s="368"/>
      <c r="AE496" s="368"/>
      <c r="AF496" s="369"/>
      <c r="AG496" s="369"/>
      <c r="AH496" s="368"/>
      <c r="AI496" s="368"/>
    </row>
    <row r="497" spans="1:35" x14ac:dyDescent="0.2">
      <c r="A497" s="368"/>
      <c r="B497" s="368"/>
      <c r="C497" s="368"/>
      <c r="D497" s="368"/>
      <c r="E497" s="368"/>
      <c r="F497" s="368"/>
      <c r="G497" s="368"/>
      <c r="H497" s="368"/>
      <c r="I497" s="368"/>
      <c r="J497" s="368"/>
      <c r="K497" s="368"/>
      <c r="L497" s="368"/>
      <c r="M497" s="368"/>
      <c r="N497" s="368"/>
      <c r="O497" s="368"/>
      <c r="P497" s="368"/>
      <c r="Q497" s="368"/>
      <c r="R497" s="368"/>
      <c r="S497" s="368"/>
      <c r="T497" s="368"/>
      <c r="U497" s="368"/>
      <c r="V497" s="368"/>
      <c r="W497" s="368"/>
      <c r="X497" s="368"/>
      <c r="Y497" s="368"/>
      <c r="Z497" s="368"/>
      <c r="AA497" s="368"/>
      <c r="AB497" s="368"/>
      <c r="AC497" s="368"/>
      <c r="AD497" s="368"/>
      <c r="AE497" s="368"/>
      <c r="AF497" s="369"/>
      <c r="AG497" s="369"/>
      <c r="AH497" s="368"/>
      <c r="AI497" s="368"/>
    </row>
    <row r="498" spans="1:35" x14ac:dyDescent="0.2">
      <c r="A498" s="368"/>
      <c r="B498" s="368"/>
      <c r="C498" s="368"/>
      <c r="D498" s="368"/>
      <c r="E498" s="368"/>
      <c r="F498" s="368"/>
      <c r="G498" s="368"/>
      <c r="H498" s="368"/>
      <c r="I498" s="368"/>
      <c r="J498" s="368"/>
      <c r="K498" s="368"/>
      <c r="L498" s="368"/>
      <c r="M498" s="368"/>
      <c r="N498" s="368"/>
      <c r="O498" s="368"/>
      <c r="P498" s="368"/>
      <c r="Q498" s="368"/>
      <c r="R498" s="368"/>
      <c r="S498" s="368"/>
      <c r="T498" s="368"/>
      <c r="U498" s="368"/>
      <c r="V498" s="368"/>
      <c r="W498" s="368"/>
      <c r="X498" s="368"/>
      <c r="Y498" s="368"/>
      <c r="Z498" s="368"/>
      <c r="AA498" s="368"/>
      <c r="AB498" s="368"/>
      <c r="AC498" s="368"/>
      <c r="AD498" s="368"/>
      <c r="AE498" s="368"/>
      <c r="AF498" s="369"/>
      <c r="AG498" s="369"/>
      <c r="AH498" s="368"/>
      <c r="AI498" s="368"/>
    </row>
    <row r="499" spans="1:35" x14ac:dyDescent="0.2">
      <c r="A499" s="368"/>
      <c r="B499" s="368"/>
      <c r="C499" s="368"/>
      <c r="D499" s="368"/>
      <c r="E499" s="368"/>
      <c r="F499" s="368"/>
      <c r="G499" s="368"/>
      <c r="H499" s="368"/>
      <c r="I499" s="368"/>
      <c r="J499" s="368"/>
      <c r="K499" s="368"/>
      <c r="L499" s="368"/>
      <c r="M499" s="368"/>
      <c r="N499" s="368"/>
      <c r="O499" s="368"/>
      <c r="P499" s="368"/>
      <c r="Q499" s="368"/>
      <c r="R499" s="368"/>
      <c r="S499" s="368"/>
      <c r="T499" s="368"/>
      <c r="U499" s="368"/>
      <c r="V499" s="368"/>
      <c r="W499" s="368"/>
      <c r="X499" s="368"/>
      <c r="Y499" s="368"/>
      <c r="Z499" s="368"/>
      <c r="AA499" s="368"/>
      <c r="AB499" s="368"/>
      <c r="AC499" s="368"/>
      <c r="AD499" s="368"/>
      <c r="AE499" s="368"/>
      <c r="AF499" s="369"/>
      <c r="AG499" s="369"/>
      <c r="AH499" s="368"/>
      <c r="AI499" s="368"/>
    </row>
    <row r="500" spans="1:35" x14ac:dyDescent="0.2">
      <c r="A500" s="368"/>
      <c r="B500" s="368"/>
      <c r="C500" s="368"/>
      <c r="D500" s="368"/>
      <c r="E500" s="368"/>
      <c r="F500" s="368"/>
      <c r="G500" s="368"/>
      <c r="H500" s="368"/>
      <c r="I500" s="368"/>
      <c r="J500" s="368"/>
      <c r="K500" s="368"/>
      <c r="L500" s="368"/>
      <c r="M500" s="368"/>
      <c r="N500" s="368"/>
      <c r="O500" s="368"/>
      <c r="P500" s="368"/>
      <c r="Q500" s="368"/>
      <c r="R500" s="368"/>
      <c r="S500" s="368"/>
      <c r="T500" s="368"/>
      <c r="U500" s="368"/>
      <c r="V500" s="368"/>
      <c r="W500" s="368"/>
      <c r="X500" s="368"/>
      <c r="Y500" s="368"/>
      <c r="Z500" s="368"/>
      <c r="AA500" s="368"/>
      <c r="AB500" s="368"/>
      <c r="AC500" s="368"/>
      <c r="AD500" s="368"/>
      <c r="AE500" s="368"/>
      <c r="AF500" s="369"/>
      <c r="AG500" s="369"/>
      <c r="AH500" s="368"/>
      <c r="AI500" s="368"/>
    </row>
    <row r="501" spans="1:35" x14ac:dyDescent="0.2">
      <c r="A501" s="368"/>
      <c r="B501" s="368"/>
      <c r="C501" s="368"/>
      <c r="D501" s="368"/>
      <c r="E501" s="368"/>
      <c r="F501" s="368"/>
      <c r="G501" s="368"/>
      <c r="H501" s="368"/>
      <c r="I501" s="36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8"/>
      <c r="Y501" s="368"/>
      <c r="Z501" s="368"/>
      <c r="AA501" s="368"/>
      <c r="AB501" s="368"/>
      <c r="AC501" s="368"/>
      <c r="AD501" s="368"/>
      <c r="AE501" s="368"/>
      <c r="AF501" s="369"/>
      <c r="AG501" s="369"/>
      <c r="AH501" s="368"/>
      <c r="AI501" s="368"/>
    </row>
    <row r="502" spans="1:35" x14ac:dyDescent="0.2">
      <c r="A502" s="368"/>
      <c r="B502" s="368"/>
      <c r="C502" s="368"/>
      <c r="D502" s="368"/>
      <c r="E502" s="368"/>
      <c r="F502" s="368"/>
      <c r="G502" s="368"/>
      <c r="H502" s="368"/>
      <c r="I502" s="368"/>
      <c r="J502" s="368"/>
      <c r="K502" s="368"/>
      <c r="L502" s="368"/>
      <c r="M502" s="368"/>
      <c r="N502" s="368"/>
      <c r="O502" s="368"/>
      <c r="P502" s="368"/>
      <c r="Q502" s="368"/>
      <c r="R502" s="368"/>
      <c r="S502" s="368"/>
      <c r="T502" s="368"/>
      <c r="U502" s="368"/>
      <c r="V502" s="368"/>
      <c r="W502" s="368"/>
      <c r="X502" s="368"/>
      <c r="Y502" s="368"/>
      <c r="Z502" s="368"/>
      <c r="AA502" s="368"/>
      <c r="AB502" s="368"/>
      <c r="AC502" s="368"/>
      <c r="AD502" s="368"/>
      <c r="AE502" s="368"/>
      <c r="AF502" s="369"/>
      <c r="AG502" s="369"/>
      <c r="AH502" s="368"/>
      <c r="AI502" s="368"/>
    </row>
    <row r="503" spans="1:35" x14ac:dyDescent="0.2">
      <c r="A503" s="368"/>
      <c r="B503" s="368"/>
      <c r="C503" s="368"/>
      <c r="D503" s="368"/>
      <c r="E503" s="368"/>
      <c r="F503" s="368"/>
      <c r="G503" s="368"/>
      <c r="H503" s="368"/>
      <c r="I503" s="368"/>
      <c r="J503" s="368"/>
      <c r="K503" s="368"/>
      <c r="L503" s="368"/>
      <c r="M503" s="368"/>
      <c r="N503" s="368"/>
      <c r="O503" s="368"/>
      <c r="P503" s="368"/>
      <c r="Q503" s="368"/>
      <c r="R503" s="368"/>
      <c r="S503" s="368"/>
      <c r="T503" s="368"/>
      <c r="U503" s="368"/>
      <c r="V503" s="368"/>
      <c r="W503" s="368"/>
      <c r="X503" s="368"/>
      <c r="Y503" s="368"/>
      <c r="Z503" s="368"/>
      <c r="AA503" s="368"/>
      <c r="AB503" s="368"/>
      <c r="AC503" s="368"/>
      <c r="AD503" s="368"/>
      <c r="AE503" s="368"/>
      <c r="AF503" s="369"/>
      <c r="AG503" s="369"/>
      <c r="AH503" s="368"/>
      <c r="AI503" s="368"/>
    </row>
    <row r="504" spans="1:35" x14ac:dyDescent="0.2">
      <c r="A504" s="368"/>
      <c r="B504" s="368"/>
      <c r="C504" s="368"/>
      <c r="D504" s="368"/>
      <c r="E504" s="368"/>
      <c r="F504" s="368"/>
      <c r="G504" s="368"/>
      <c r="H504" s="368"/>
      <c r="I504" s="368"/>
      <c r="J504" s="368"/>
      <c r="K504" s="368"/>
      <c r="L504" s="368"/>
      <c r="M504" s="368"/>
      <c r="N504" s="368"/>
      <c r="O504" s="368"/>
      <c r="P504" s="368"/>
      <c r="Q504" s="368"/>
      <c r="R504" s="368"/>
      <c r="S504" s="368"/>
      <c r="T504" s="368"/>
      <c r="U504" s="368"/>
      <c r="V504" s="368"/>
      <c r="W504" s="368"/>
      <c r="X504" s="368"/>
      <c r="Y504" s="368"/>
      <c r="Z504" s="368"/>
      <c r="AA504" s="368"/>
      <c r="AB504" s="368"/>
      <c r="AC504" s="368"/>
      <c r="AD504" s="368"/>
      <c r="AE504" s="368"/>
      <c r="AF504" s="369"/>
      <c r="AG504" s="369"/>
      <c r="AH504" s="368"/>
      <c r="AI504" s="368"/>
    </row>
    <row r="505" spans="1:35" x14ac:dyDescent="0.2">
      <c r="A505" s="368"/>
      <c r="B505" s="368"/>
      <c r="C505" s="368"/>
      <c r="D505" s="368"/>
      <c r="E505" s="368"/>
      <c r="F505" s="368"/>
      <c r="G505" s="368"/>
      <c r="H505" s="368"/>
      <c r="I505" s="368"/>
      <c r="J505" s="368"/>
      <c r="K505" s="368"/>
      <c r="L505" s="368"/>
      <c r="M505" s="368"/>
      <c r="N505" s="368"/>
      <c r="O505" s="368"/>
      <c r="P505" s="368"/>
      <c r="Q505" s="368"/>
      <c r="R505" s="368"/>
      <c r="S505" s="368"/>
      <c r="T505" s="368"/>
      <c r="U505" s="368"/>
      <c r="V505" s="368"/>
      <c r="W505" s="368"/>
      <c r="X505" s="368"/>
      <c r="Y505" s="368"/>
      <c r="Z505" s="368"/>
      <c r="AA505" s="368"/>
      <c r="AB505" s="368"/>
      <c r="AC505" s="368"/>
      <c r="AD505" s="368"/>
      <c r="AE505" s="368"/>
      <c r="AF505" s="369"/>
      <c r="AG505" s="369"/>
      <c r="AH505" s="368"/>
      <c r="AI505" s="368"/>
    </row>
    <row r="506" spans="1:35" x14ac:dyDescent="0.2">
      <c r="A506" s="368"/>
      <c r="B506" s="368"/>
      <c r="C506" s="368"/>
      <c r="D506" s="368"/>
      <c r="E506" s="368"/>
      <c r="F506" s="368"/>
      <c r="G506" s="368"/>
      <c r="H506" s="368"/>
      <c r="I506" s="368"/>
      <c r="J506" s="368"/>
      <c r="K506" s="368"/>
      <c r="L506" s="368"/>
      <c r="M506" s="368"/>
      <c r="N506" s="368"/>
      <c r="O506" s="368"/>
      <c r="P506" s="368"/>
      <c r="Q506" s="368"/>
      <c r="R506" s="368"/>
      <c r="S506" s="368"/>
      <c r="T506" s="368"/>
      <c r="U506" s="368"/>
      <c r="V506" s="368"/>
      <c r="W506" s="368"/>
      <c r="X506" s="368"/>
      <c r="Y506" s="368"/>
      <c r="Z506" s="368"/>
      <c r="AA506" s="368"/>
      <c r="AB506" s="368"/>
      <c r="AC506" s="368"/>
      <c r="AD506" s="368"/>
      <c r="AE506" s="368"/>
      <c r="AF506" s="369"/>
      <c r="AG506" s="369"/>
      <c r="AH506" s="368"/>
      <c r="AI506" s="368"/>
    </row>
    <row r="507" spans="1:35" x14ac:dyDescent="0.2">
      <c r="A507" s="368"/>
      <c r="B507" s="368"/>
      <c r="C507" s="368"/>
      <c r="D507" s="368"/>
      <c r="E507" s="368"/>
      <c r="F507" s="368"/>
      <c r="G507" s="368"/>
      <c r="H507" s="368"/>
      <c r="I507" s="368"/>
      <c r="J507" s="368"/>
      <c r="K507" s="368"/>
      <c r="L507" s="368"/>
      <c r="M507" s="368"/>
      <c r="N507" s="368"/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8"/>
      <c r="AA507" s="368"/>
      <c r="AB507" s="368"/>
      <c r="AC507" s="368"/>
      <c r="AD507" s="368"/>
      <c r="AE507" s="368"/>
      <c r="AF507" s="369"/>
      <c r="AG507" s="369"/>
      <c r="AH507" s="368"/>
      <c r="AI507" s="368"/>
    </row>
    <row r="508" spans="1:35" x14ac:dyDescent="0.2">
      <c r="A508" s="368"/>
      <c r="B508" s="368"/>
      <c r="C508" s="368"/>
      <c r="D508" s="368"/>
      <c r="E508" s="368"/>
      <c r="F508" s="368"/>
      <c r="G508" s="368"/>
      <c r="H508" s="368"/>
      <c r="I508" s="368"/>
      <c r="J508" s="368"/>
      <c r="K508" s="368"/>
      <c r="L508" s="368"/>
      <c r="M508" s="368"/>
      <c r="N508" s="368"/>
      <c r="O508" s="368"/>
      <c r="P508" s="368"/>
      <c r="Q508" s="368"/>
      <c r="R508" s="368"/>
      <c r="S508" s="368"/>
      <c r="T508" s="368"/>
      <c r="U508" s="368"/>
      <c r="V508" s="368"/>
      <c r="W508" s="368"/>
      <c r="X508" s="368"/>
      <c r="Y508" s="368"/>
      <c r="Z508" s="368"/>
      <c r="AA508" s="368"/>
      <c r="AB508" s="368"/>
      <c r="AC508" s="368"/>
      <c r="AD508" s="368"/>
      <c r="AE508" s="368"/>
      <c r="AF508" s="369"/>
      <c r="AG508" s="369"/>
      <c r="AH508" s="368"/>
      <c r="AI508" s="368"/>
    </row>
    <row r="509" spans="1:35" x14ac:dyDescent="0.2">
      <c r="A509" s="368"/>
      <c r="B509" s="368"/>
      <c r="C509" s="368"/>
      <c r="D509" s="368"/>
      <c r="E509" s="368"/>
      <c r="F509" s="368"/>
      <c r="G509" s="368"/>
      <c r="H509" s="368"/>
      <c r="I509" s="368"/>
      <c r="J509" s="368"/>
      <c r="K509" s="368"/>
      <c r="L509" s="368"/>
      <c r="M509" s="368"/>
      <c r="N509" s="368"/>
      <c r="O509" s="368"/>
      <c r="P509" s="368"/>
      <c r="Q509" s="368"/>
      <c r="R509" s="368"/>
      <c r="S509" s="368"/>
      <c r="T509" s="368"/>
      <c r="U509" s="368"/>
      <c r="V509" s="368"/>
      <c r="W509" s="368"/>
      <c r="X509" s="368"/>
      <c r="Y509" s="368"/>
      <c r="Z509" s="368"/>
      <c r="AA509" s="368"/>
      <c r="AB509" s="368"/>
      <c r="AC509" s="368"/>
      <c r="AD509" s="368"/>
      <c r="AE509" s="368"/>
      <c r="AF509" s="369"/>
      <c r="AG509" s="369"/>
      <c r="AH509" s="368"/>
      <c r="AI509" s="368"/>
    </row>
    <row r="510" spans="1:35" x14ac:dyDescent="0.2">
      <c r="A510" s="368"/>
      <c r="B510" s="368"/>
      <c r="C510" s="368"/>
      <c r="D510" s="368"/>
      <c r="E510" s="368"/>
      <c r="F510" s="368"/>
      <c r="G510" s="368"/>
      <c r="H510" s="368"/>
      <c r="I510" s="368"/>
      <c r="J510" s="368"/>
      <c r="K510" s="368"/>
      <c r="L510" s="368"/>
      <c r="M510" s="368"/>
      <c r="N510" s="368"/>
      <c r="O510" s="368"/>
      <c r="P510" s="368"/>
      <c r="Q510" s="368"/>
      <c r="R510" s="368"/>
      <c r="S510" s="368"/>
      <c r="T510" s="368"/>
      <c r="U510" s="368"/>
      <c r="V510" s="368"/>
      <c r="W510" s="368"/>
      <c r="X510" s="368"/>
      <c r="Y510" s="368"/>
      <c r="Z510" s="368"/>
      <c r="AA510" s="368"/>
      <c r="AB510" s="368"/>
      <c r="AC510" s="368"/>
      <c r="AD510" s="368"/>
      <c r="AE510" s="368"/>
      <c r="AF510" s="369"/>
      <c r="AG510" s="369"/>
      <c r="AH510" s="368"/>
      <c r="AI510" s="368"/>
    </row>
    <row r="511" spans="1:35" x14ac:dyDescent="0.2">
      <c r="A511" s="368"/>
      <c r="B511" s="368"/>
      <c r="C511" s="368"/>
      <c r="D511" s="368"/>
      <c r="E511" s="368"/>
      <c r="F511" s="368"/>
      <c r="G511" s="368"/>
      <c r="H511" s="368"/>
      <c r="I511" s="368"/>
      <c r="J511" s="368"/>
      <c r="K511" s="368"/>
      <c r="L511" s="368"/>
      <c r="M511" s="368"/>
      <c r="N511" s="368"/>
      <c r="O511" s="368"/>
      <c r="P511" s="368"/>
      <c r="Q511" s="368"/>
      <c r="R511" s="368"/>
      <c r="S511" s="368"/>
      <c r="T511" s="368"/>
      <c r="U511" s="368"/>
      <c r="V511" s="368"/>
      <c r="W511" s="368"/>
      <c r="X511" s="368"/>
      <c r="Y511" s="368"/>
      <c r="Z511" s="368"/>
      <c r="AA511" s="368"/>
      <c r="AB511" s="368"/>
      <c r="AC511" s="368"/>
      <c r="AD511" s="368"/>
      <c r="AE511" s="368"/>
      <c r="AF511" s="369"/>
      <c r="AG511" s="369"/>
      <c r="AH511" s="368"/>
      <c r="AI511" s="368"/>
    </row>
    <row r="512" spans="1:35" x14ac:dyDescent="0.2">
      <c r="A512" s="368"/>
      <c r="B512" s="368"/>
      <c r="C512" s="368"/>
      <c r="D512" s="368"/>
      <c r="E512" s="368"/>
      <c r="F512" s="368"/>
      <c r="G512" s="368"/>
      <c r="H512" s="368"/>
      <c r="I512" s="368"/>
      <c r="J512" s="368"/>
      <c r="K512" s="368"/>
      <c r="L512" s="368"/>
      <c r="M512" s="368"/>
      <c r="N512" s="368"/>
      <c r="O512" s="368"/>
      <c r="P512" s="368"/>
      <c r="Q512" s="368"/>
      <c r="R512" s="368"/>
      <c r="S512" s="368"/>
      <c r="T512" s="368"/>
      <c r="U512" s="368"/>
      <c r="V512" s="368"/>
      <c r="W512" s="368"/>
      <c r="X512" s="368"/>
      <c r="Y512" s="368"/>
      <c r="Z512" s="368"/>
      <c r="AA512" s="368"/>
      <c r="AB512" s="368"/>
      <c r="AC512" s="368"/>
      <c r="AD512" s="368"/>
      <c r="AE512" s="368"/>
      <c r="AF512" s="369"/>
      <c r="AG512" s="369"/>
      <c r="AH512" s="368"/>
      <c r="AI512" s="368"/>
    </row>
    <row r="513" spans="1:35" x14ac:dyDescent="0.2">
      <c r="A513" s="368"/>
      <c r="B513" s="368"/>
      <c r="C513" s="368"/>
      <c r="D513" s="368"/>
      <c r="E513" s="368"/>
      <c r="F513" s="368"/>
      <c r="G513" s="368"/>
      <c r="H513" s="368"/>
      <c r="I513" s="368"/>
      <c r="J513" s="368"/>
      <c r="K513" s="368"/>
      <c r="L513" s="368"/>
      <c r="M513" s="368"/>
      <c r="N513" s="368"/>
      <c r="O513" s="368"/>
      <c r="P513" s="368"/>
      <c r="Q513" s="368"/>
      <c r="R513" s="368"/>
      <c r="S513" s="368"/>
      <c r="T513" s="368"/>
      <c r="U513" s="368"/>
      <c r="V513" s="368"/>
      <c r="W513" s="368"/>
      <c r="X513" s="368"/>
      <c r="Y513" s="368"/>
      <c r="Z513" s="368"/>
      <c r="AA513" s="368"/>
      <c r="AB513" s="368"/>
      <c r="AC513" s="368"/>
      <c r="AD513" s="368"/>
      <c r="AE513" s="368"/>
      <c r="AF513" s="369"/>
      <c r="AG513" s="369"/>
      <c r="AH513" s="368"/>
      <c r="AI513" s="368"/>
    </row>
    <row r="514" spans="1:35" x14ac:dyDescent="0.2">
      <c r="A514" s="368"/>
      <c r="B514" s="368"/>
      <c r="C514" s="368"/>
      <c r="D514" s="368"/>
      <c r="E514" s="368"/>
      <c r="F514" s="368"/>
      <c r="G514" s="368"/>
      <c r="H514" s="368"/>
      <c r="I514" s="368"/>
      <c r="J514" s="368"/>
      <c r="K514" s="368"/>
      <c r="L514" s="368"/>
      <c r="M514" s="368"/>
      <c r="N514" s="368"/>
      <c r="O514" s="368"/>
      <c r="P514" s="368"/>
      <c r="Q514" s="368"/>
      <c r="R514" s="368"/>
      <c r="S514" s="368"/>
      <c r="T514" s="368"/>
      <c r="U514" s="368"/>
      <c r="V514" s="368"/>
      <c r="W514" s="368"/>
      <c r="X514" s="368"/>
      <c r="Y514" s="368"/>
      <c r="Z514" s="368"/>
      <c r="AA514" s="368"/>
      <c r="AB514" s="368"/>
      <c r="AC514" s="368"/>
      <c r="AD514" s="368"/>
      <c r="AE514" s="368"/>
      <c r="AF514" s="369"/>
      <c r="AG514" s="369"/>
      <c r="AH514" s="368"/>
      <c r="AI514" s="368"/>
    </row>
    <row r="515" spans="1:35" x14ac:dyDescent="0.2">
      <c r="A515" s="368"/>
      <c r="B515" s="368"/>
      <c r="C515" s="368"/>
      <c r="D515" s="368"/>
      <c r="E515" s="368"/>
      <c r="F515" s="368"/>
      <c r="G515" s="368"/>
      <c r="H515" s="368"/>
      <c r="I515" s="368"/>
      <c r="J515" s="368"/>
      <c r="K515" s="368"/>
      <c r="L515" s="368"/>
      <c r="M515" s="368"/>
      <c r="N515" s="368"/>
      <c r="O515" s="368"/>
      <c r="P515" s="368"/>
      <c r="Q515" s="368"/>
      <c r="R515" s="368"/>
      <c r="S515" s="368"/>
      <c r="T515" s="368"/>
      <c r="U515" s="368"/>
      <c r="V515" s="368"/>
      <c r="W515" s="368"/>
      <c r="X515" s="368"/>
      <c r="Y515" s="368"/>
      <c r="Z515" s="368"/>
      <c r="AA515" s="368"/>
      <c r="AB515" s="368"/>
      <c r="AC515" s="368"/>
      <c r="AD515" s="368"/>
      <c r="AE515" s="368"/>
      <c r="AF515" s="369"/>
      <c r="AG515" s="369"/>
      <c r="AH515" s="368"/>
      <c r="AI515" s="368"/>
    </row>
    <row r="516" spans="1:35" x14ac:dyDescent="0.2">
      <c r="A516" s="368"/>
      <c r="B516" s="368"/>
      <c r="C516" s="368"/>
      <c r="D516" s="368"/>
      <c r="E516" s="368"/>
      <c r="F516" s="368"/>
      <c r="G516" s="368"/>
      <c r="H516" s="368"/>
      <c r="I516" s="368"/>
      <c r="J516" s="368"/>
      <c r="K516" s="368"/>
      <c r="L516" s="368"/>
      <c r="M516" s="368"/>
      <c r="N516" s="368"/>
      <c r="O516" s="368"/>
      <c r="P516" s="368"/>
      <c r="Q516" s="368"/>
      <c r="R516" s="368"/>
      <c r="S516" s="368"/>
      <c r="T516" s="368"/>
      <c r="U516" s="368"/>
      <c r="V516" s="368"/>
      <c r="W516" s="368"/>
      <c r="X516" s="368"/>
      <c r="Y516" s="368"/>
      <c r="Z516" s="368"/>
      <c r="AA516" s="368"/>
      <c r="AB516" s="368"/>
      <c r="AC516" s="368"/>
      <c r="AD516" s="368"/>
      <c r="AE516" s="368"/>
      <c r="AF516" s="369"/>
      <c r="AG516" s="369"/>
      <c r="AH516" s="368"/>
      <c r="AI516" s="368"/>
    </row>
    <row r="517" spans="1:35" x14ac:dyDescent="0.2">
      <c r="A517" s="368"/>
      <c r="B517" s="368"/>
      <c r="C517" s="368"/>
      <c r="D517" s="368"/>
      <c r="E517" s="368"/>
      <c r="F517" s="368"/>
      <c r="G517" s="368"/>
      <c r="H517" s="368"/>
      <c r="I517" s="368"/>
      <c r="J517" s="368"/>
      <c r="K517" s="368"/>
      <c r="L517" s="368"/>
      <c r="M517" s="368"/>
      <c r="N517" s="368"/>
      <c r="O517" s="368"/>
      <c r="P517" s="368"/>
      <c r="Q517" s="368"/>
      <c r="R517" s="368"/>
      <c r="S517" s="368"/>
      <c r="T517" s="368"/>
      <c r="U517" s="368"/>
      <c r="V517" s="368"/>
      <c r="W517" s="368"/>
      <c r="X517" s="368"/>
      <c r="Y517" s="368"/>
      <c r="Z517" s="368"/>
      <c r="AA517" s="368"/>
      <c r="AB517" s="368"/>
      <c r="AC517" s="368"/>
      <c r="AD517" s="368"/>
      <c r="AE517" s="368"/>
      <c r="AF517" s="369"/>
      <c r="AG517" s="369"/>
      <c r="AH517" s="368"/>
      <c r="AI517" s="368"/>
    </row>
    <row r="518" spans="1:35" x14ac:dyDescent="0.2">
      <c r="A518" s="368"/>
      <c r="B518" s="368"/>
      <c r="C518" s="368"/>
      <c r="D518" s="368"/>
      <c r="E518" s="368"/>
      <c r="F518" s="368"/>
      <c r="G518" s="368"/>
      <c r="H518" s="368"/>
      <c r="I518" s="368"/>
      <c r="J518" s="368"/>
      <c r="K518" s="368"/>
      <c r="L518" s="368"/>
      <c r="M518" s="368"/>
      <c r="N518" s="368"/>
      <c r="O518" s="368"/>
      <c r="P518" s="368"/>
      <c r="Q518" s="368"/>
      <c r="R518" s="368"/>
      <c r="S518" s="368"/>
      <c r="T518" s="368"/>
      <c r="U518" s="368"/>
      <c r="V518" s="368"/>
      <c r="W518" s="368"/>
      <c r="X518" s="368"/>
      <c r="Y518" s="368"/>
      <c r="Z518" s="368"/>
      <c r="AA518" s="368"/>
      <c r="AB518" s="368"/>
      <c r="AC518" s="368"/>
      <c r="AD518" s="368"/>
      <c r="AE518" s="368"/>
      <c r="AF518" s="369"/>
      <c r="AG518" s="369"/>
      <c r="AH518" s="368"/>
      <c r="AI518" s="368"/>
    </row>
    <row r="519" spans="1:35" x14ac:dyDescent="0.2">
      <c r="A519" s="368"/>
      <c r="B519" s="368"/>
      <c r="C519" s="368"/>
      <c r="D519" s="368"/>
      <c r="E519" s="368"/>
      <c r="F519" s="368"/>
      <c r="G519" s="368"/>
      <c r="H519" s="368"/>
      <c r="I519" s="368"/>
      <c r="J519" s="368"/>
      <c r="K519" s="368"/>
      <c r="L519" s="368"/>
      <c r="M519" s="368"/>
      <c r="N519" s="368"/>
      <c r="O519" s="368"/>
      <c r="P519" s="368"/>
      <c r="Q519" s="368"/>
      <c r="R519" s="368"/>
      <c r="S519" s="368"/>
      <c r="T519" s="368"/>
      <c r="U519" s="368"/>
      <c r="V519" s="368"/>
      <c r="W519" s="368"/>
      <c r="X519" s="368"/>
      <c r="Y519" s="368"/>
      <c r="Z519" s="368"/>
      <c r="AA519" s="368"/>
      <c r="AB519" s="368"/>
      <c r="AC519" s="368"/>
      <c r="AD519" s="368"/>
      <c r="AE519" s="368"/>
      <c r="AF519" s="369"/>
      <c r="AG519" s="369"/>
      <c r="AH519" s="368"/>
      <c r="AI519" s="368"/>
    </row>
    <row r="520" spans="1:35" x14ac:dyDescent="0.2">
      <c r="A520" s="368"/>
      <c r="B520" s="368"/>
      <c r="C520" s="368"/>
      <c r="D520" s="368"/>
      <c r="E520" s="368"/>
      <c r="F520" s="368"/>
      <c r="G520" s="368"/>
      <c r="H520" s="368"/>
      <c r="I520" s="368"/>
      <c r="J520" s="368"/>
      <c r="K520" s="368"/>
      <c r="L520" s="368"/>
      <c r="M520" s="368"/>
      <c r="N520" s="368"/>
      <c r="O520" s="368"/>
      <c r="P520" s="368"/>
      <c r="Q520" s="368"/>
      <c r="R520" s="368"/>
      <c r="S520" s="368"/>
      <c r="T520" s="368"/>
      <c r="U520" s="368"/>
      <c r="V520" s="368"/>
      <c r="W520" s="368"/>
      <c r="X520" s="368"/>
      <c r="Y520" s="368"/>
      <c r="Z520" s="368"/>
      <c r="AA520" s="368"/>
      <c r="AB520" s="368"/>
      <c r="AC520" s="368"/>
      <c r="AD520" s="368"/>
      <c r="AE520" s="368"/>
      <c r="AF520" s="369"/>
      <c r="AG520" s="369"/>
      <c r="AH520" s="368"/>
      <c r="AI520" s="368"/>
    </row>
    <row r="521" spans="1:35" x14ac:dyDescent="0.2">
      <c r="A521" s="368"/>
      <c r="B521" s="368"/>
      <c r="C521" s="368"/>
      <c r="D521" s="368"/>
      <c r="E521" s="368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8"/>
      <c r="V521" s="368"/>
      <c r="W521" s="368"/>
      <c r="X521" s="368"/>
      <c r="Y521" s="368"/>
      <c r="Z521" s="368"/>
      <c r="AA521" s="368"/>
      <c r="AB521" s="368"/>
      <c r="AC521" s="368"/>
      <c r="AD521" s="368"/>
      <c r="AE521" s="368"/>
      <c r="AF521" s="369"/>
      <c r="AG521" s="369"/>
      <c r="AH521" s="368"/>
      <c r="AI521" s="368"/>
    </row>
  </sheetData>
  <mergeCells count="25">
    <mergeCell ref="V107:W107"/>
    <mergeCell ref="V108:W108"/>
    <mergeCell ref="V109:W109"/>
    <mergeCell ref="V110:W110"/>
    <mergeCell ref="T81:T89"/>
    <mergeCell ref="T92:T100"/>
    <mergeCell ref="T104:T112"/>
    <mergeCell ref="V111:W111"/>
    <mergeCell ref="V112:W112"/>
    <mergeCell ref="V105:W105"/>
    <mergeCell ref="V104:W104"/>
    <mergeCell ref="V106:W106"/>
    <mergeCell ref="AK11:AN16"/>
    <mergeCell ref="V102:W102"/>
    <mergeCell ref="V103:W103"/>
    <mergeCell ref="A1:AN1"/>
    <mergeCell ref="AK6:AN8"/>
    <mergeCell ref="AK5:AN5"/>
    <mergeCell ref="A3:F3"/>
    <mergeCell ref="H3:M3"/>
    <mergeCell ref="O3:T3"/>
    <mergeCell ref="X5:Z5"/>
    <mergeCell ref="AA5:AC5"/>
    <mergeCell ref="V25:W25"/>
    <mergeCell ref="V26:W26"/>
  </mergeCells>
  <phoneticPr fontId="7" type="noConversion"/>
  <printOptions horizontalCentered="1" verticalCentered="1"/>
  <pageMargins left="0.19685039370078741" right="0.23622047244094491" top="0.47244094488188981" bottom="0.59055118110236227" header="0.19685039370078741" footer="0.15748031496062992"/>
  <pageSetup paperSize="9" scale="49" orientation="landscape" horizontalDpi="1200" verticalDpi="1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>
    <pageSetUpPr fitToPage="1"/>
  </sheetPr>
  <dimension ref="A1:I78"/>
  <sheetViews>
    <sheetView zoomScale="70" zoomScaleNormal="70" zoomScaleSheetLayoutView="100" workbookViewId="0">
      <selection sqref="A1:D1"/>
    </sheetView>
  </sheetViews>
  <sheetFormatPr defaultRowHeight="15" x14ac:dyDescent="0.25"/>
  <cols>
    <col min="1" max="1" width="51.25" style="375" customWidth="1"/>
    <col min="2" max="2" width="12.75" style="375" customWidth="1"/>
    <col min="3" max="3" width="15" style="375" bestFit="1" customWidth="1"/>
    <col min="4" max="4" width="14.875" style="375" customWidth="1"/>
    <col min="5" max="6" width="17.625" style="375" customWidth="1"/>
    <col min="7" max="16384" width="9" style="375"/>
  </cols>
  <sheetData>
    <row r="1" spans="1:9" ht="23.25" x14ac:dyDescent="0.25">
      <c r="A1" s="1270" t="s">
        <v>545</v>
      </c>
      <c r="B1" s="1270"/>
      <c r="C1" s="1270"/>
      <c r="D1" s="1270"/>
      <c r="F1" s="376"/>
      <c r="G1" s="348"/>
      <c r="H1" s="348"/>
    </row>
    <row r="2" spans="1:9" ht="6" customHeight="1" thickBot="1" x14ac:dyDescent="0.3">
      <c r="A2" s="772"/>
      <c r="B2" s="772"/>
      <c r="C2" s="772"/>
      <c r="D2" s="772"/>
      <c r="F2" s="348"/>
      <c r="G2" s="348"/>
      <c r="H2" s="348"/>
    </row>
    <row r="3" spans="1:9" ht="30" customHeight="1" x14ac:dyDescent="0.25">
      <c r="A3" s="773" t="s">
        <v>521</v>
      </c>
      <c r="B3" s="774"/>
      <c r="C3" s="1190"/>
      <c r="D3" s="1191"/>
      <c r="E3" s="377"/>
      <c r="F3" s="1278"/>
      <c r="G3" s="1278"/>
      <c r="H3" s="1278"/>
    </row>
    <row r="4" spans="1:9" ht="30" customHeight="1" x14ac:dyDescent="0.25">
      <c r="A4" s="775" t="s">
        <v>522</v>
      </c>
      <c r="B4" s="774"/>
      <c r="C4" s="1192"/>
      <c r="D4" s="1193"/>
      <c r="F4" s="1278"/>
      <c r="G4" s="1278"/>
      <c r="H4" s="1278"/>
    </row>
    <row r="5" spans="1:9" ht="30" hidden="1" customHeight="1" thickBot="1" x14ac:dyDescent="0.3">
      <c r="A5" s="775" t="s">
        <v>30</v>
      </c>
      <c r="B5" s="774"/>
      <c r="C5" s="1192"/>
      <c r="D5" s="1193"/>
    </row>
    <row r="6" spans="1:9" ht="30.75" customHeight="1" x14ac:dyDescent="0.25">
      <c r="A6" s="775" t="s">
        <v>523</v>
      </c>
      <c r="B6" s="774"/>
      <c r="C6" s="1170"/>
      <c r="D6" s="776" t="s">
        <v>6</v>
      </c>
      <c r="E6" s="378"/>
      <c r="F6" s="379"/>
    </row>
    <row r="7" spans="1:9" ht="30.75" customHeight="1" x14ac:dyDescent="0.25">
      <c r="A7" s="777" t="s">
        <v>524</v>
      </c>
      <c r="B7" s="778"/>
      <c r="C7" s="1170"/>
      <c r="D7" s="776" t="s">
        <v>6</v>
      </c>
      <c r="E7" s="378"/>
      <c r="F7" s="379"/>
    </row>
    <row r="8" spans="1:9" ht="46.5" customHeight="1" x14ac:dyDescent="0.25">
      <c r="A8" s="775" t="s">
        <v>525</v>
      </c>
      <c r="B8" s="778"/>
      <c r="C8" s="1281"/>
      <c r="D8" s="1282"/>
      <c r="E8" s="378"/>
      <c r="F8" s="379"/>
    </row>
    <row r="9" spans="1:9" ht="46.5" customHeight="1" thickBot="1" x14ac:dyDescent="0.3">
      <c r="A9" s="779" t="s">
        <v>741</v>
      </c>
      <c r="B9" s="778"/>
      <c r="C9" s="1283">
        <v>1</v>
      </c>
      <c r="D9" s="1284"/>
      <c r="E9" s="378"/>
      <c r="F9" s="379"/>
    </row>
    <row r="10" spans="1:9" ht="15.75" x14ac:dyDescent="0.25">
      <c r="A10" s="772"/>
      <c r="B10" s="772"/>
      <c r="C10" s="772"/>
      <c r="D10" s="772"/>
    </row>
    <row r="11" spans="1:9" ht="23.25" x14ac:dyDescent="0.25">
      <c r="A11" s="1269" t="s">
        <v>546</v>
      </c>
      <c r="B11" s="1269"/>
      <c r="C11" s="1269"/>
      <c r="D11" s="1269"/>
      <c r="E11" s="1"/>
      <c r="F11" s="1"/>
      <c r="G11" s="1"/>
      <c r="H11" s="1"/>
      <c r="I11" s="2"/>
    </row>
    <row r="12" spans="1:9" ht="9" customHeight="1" thickBot="1" x14ac:dyDescent="0.3">
      <c r="A12" s="780"/>
      <c r="B12" s="780"/>
      <c r="C12" s="780"/>
      <c r="D12" s="780"/>
    </row>
    <row r="13" spans="1:9" s="380" customFormat="1" ht="30" customHeight="1" thickBot="1" x14ac:dyDescent="0.3">
      <c r="A13" s="1267" t="s">
        <v>526</v>
      </c>
      <c r="B13" s="1279"/>
      <c r="C13" s="781" t="s">
        <v>527</v>
      </c>
      <c r="D13" s="782">
        <f>'1-Ore funzionamento'!Z80</f>
        <v>0</v>
      </c>
    </row>
    <row r="14" spans="1:9" s="380" customFormat="1" ht="6" customHeight="1" thickBot="1" x14ac:dyDescent="0.3">
      <c r="A14" s="780"/>
      <c r="B14" s="780"/>
      <c r="C14" s="783"/>
      <c r="D14" s="784"/>
    </row>
    <row r="15" spans="1:9" s="380" customFormat="1" ht="30" customHeight="1" thickBot="1" x14ac:dyDescent="0.3">
      <c r="A15" s="1267" t="s">
        <v>528</v>
      </c>
      <c r="B15" s="1279"/>
      <c r="C15" s="781" t="s">
        <v>527</v>
      </c>
      <c r="D15" s="782">
        <f>'1-Ore funzionamento'!AC91</f>
        <v>0</v>
      </c>
    </row>
    <row r="16" spans="1:9" s="380" customFormat="1" ht="6" customHeight="1" thickBot="1" x14ac:dyDescent="0.3">
      <c r="A16" s="780"/>
      <c r="B16" s="780"/>
      <c r="C16" s="783"/>
      <c r="D16" s="784"/>
    </row>
    <row r="17" spans="1:5" ht="30" customHeight="1" thickBot="1" x14ac:dyDescent="0.3">
      <c r="A17" s="1280" t="s">
        <v>529</v>
      </c>
      <c r="B17" s="1279"/>
      <c r="C17" s="781" t="s">
        <v>44</v>
      </c>
      <c r="D17" s="1167"/>
    </row>
    <row r="18" spans="1:5" ht="6" customHeight="1" thickBot="1" x14ac:dyDescent="0.3">
      <c r="A18" s="774"/>
      <c r="B18" s="774"/>
      <c r="C18" s="785"/>
      <c r="D18" s="786"/>
    </row>
    <row r="19" spans="1:5" ht="30" customHeight="1" thickBot="1" x14ac:dyDescent="0.3">
      <c r="A19" s="1280" t="s">
        <v>530</v>
      </c>
      <c r="B19" s="1279"/>
      <c r="C19" s="781" t="s">
        <v>44</v>
      </c>
      <c r="D19" s="1167"/>
    </row>
    <row r="20" spans="1:5" ht="6" customHeight="1" thickBot="1" x14ac:dyDescent="0.3">
      <c r="A20" s="774"/>
      <c r="B20" s="774"/>
      <c r="C20" s="785"/>
      <c r="D20" s="786"/>
    </row>
    <row r="21" spans="1:5" s="380" customFormat="1" ht="30" customHeight="1" thickBot="1" x14ac:dyDescent="0.3">
      <c r="A21" s="1267" t="s">
        <v>0</v>
      </c>
      <c r="B21" s="1279"/>
      <c r="C21" s="787" t="str">
        <f>IF(C43=4,"Gas non specificato",INDEX(Tabella_tipo_gas,C43,3))</f>
        <v>cent € / m3</v>
      </c>
      <c r="D21" s="1168"/>
    </row>
    <row r="22" spans="1:5" s="380" customFormat="1" ht="6" customHeight="1" thickBot="1" x14ac:dyDescent="0.3">
      <c r="A22" s="788"/>
      <c r="B22" s="789"/>
      <c r="C22" s="790"/>
      <c r="D22" s="784"/>
    </row>
    <row r="23" spans="1:5" s="380" customFormat="1" ht="30" customHeight="1" x14ac:dyDescent="0.25">
      <c r="A23" s="1271" t="s">
        <v>531</v>
      </c>
      <c r="B23" s="1272"/>
      <c r="C23" s="791" t="s">
        <v>211</v>
      </c>
      <c r="D23" s="1169"/>
    </row>
    <row r="24" spans="1:5" s="380" customFormat="1" ht="30" hidden="1" customHeight="1" x14ac:dyDescent="0.25">
      <c r="A24" s="1273"/>
      <c r="B24" s="1274"/>
      <c r="C24" s="792" t="s">
        <v>211</v>
      </c>
      <c r="D24" s="793">
        <f>D23</f>
        <v>0</v>
      </c>
    </row>
    <row r="25" spans="1:5" s="380" customFormat="1" ht="30" hidden="1" customHeight="1" x14ac:dyDescent="0.25">
      <c r="A25" s="1275"/>
      <c r="B25" s="1274"/>
      <c r="C25" s="792" t="s">
        <v>211</v>
      </c>
      <c r="D25" s="793">
        <f>D23</f>
        <v>0</v>
      </c>
    </row>
    <row r="26" spans="1:5" s="380" customFormat="1" ht="30" hidden="1" customHeight="1" x14ac:dyDescent="0.25">
      <c r="A26" s="1275"/>
      <c r="B26" s="1274"/>
      <c r="C26" s="792" t="s">
        <v>211</v>
      </c>
      <c r="D26" s="793">
        <f>D23</f>
        <v>0</v>
      </c>
    </row>
    <row r="27" spans="1:5" s="380" customFormat="1" ht="30" hidden="1" customHeight="1" x14ac:dyDescent="0.25">
      <c r="A27" s="1275"/>
      <c r="B27" s="1274"/>
      <c r="C27" s="792" t="s">
        <v>211</v>
      </c>
      <c r="D27" s="794">
        <f>D24</f>
        <v>0</v>
      </c>
    </row>
    <row r="28" spans="1:5" s="380" customFormat="1" ht="30" hidden="1" customHeight="1" x14ac:dyDescent="0.25">
      <c r="A28" s="1275"/>
      <c r="B28" s="1274"/>
      <c r="C28" s="792" t="s">
        <v>211</v>
      </c>
      <c r="D28" s="795">
        <f>D25</f>
        <v>0</v>
      </c>
    </row>
    <row r="29" spans="1:5" s="380" customFormat="1" ht="30" hidden="1" customHeight="1" x14ac:dyDescent="0.25">
      <c r="A29" s="1275"/>
      <c r="B29" s="1274"/>
      <c r="C29" s="792" t="s">
        <v>211</v>
      </c>
      <c r="D29" s="795">
        <f>D23</f>
        <v>0</v>
      </c>
    </row>
    <row r="30" spans="1:5" s="380" customFormat="1" ht="30" hidden="1" customHeight="1" x14ac:dyDescent="0.25">
      <c r="A30" s="1275"/>
      <c r="B30" s="1274"/>
      <c r="C30" s="792" t="s">
        <v>211</v>
      </c>
      <c r="D30" s="793">
        <f>D24</f>
        <v>0</v>
      </c>
    </row>
    <row r="31" spans="1:5" s="380" customFormat="1" ht="30" hidden="1" customHeight="1" thickBot="1" x14ac:dyDescent="0.3">
      <c r="A31" s="1276"/>
      <c r="B31" s="1277"/>
      <c r="C31" s="796" t="s">
        <v>211</v>
      </c>
      <c r="D31" s="797">
        <f>D25</f>
        <v>0</v>
      </c>
    </row>
    <row r="32" spans="1:5" s="380" customFormat="1" ht="6" customHeight="1" thickBot="1" x14ac:dyDescent="0.3">
      <c r="A32" s="798"/>
      <c r="B32" s="798"/>
      <c r="C32" s="799"/>
      <c r="D32" s="800">
        <v>60</v>
      </c>
      <c r="E32" s="532"/>
    </row>
    <row r="33" spans="1:5" s="380" customFormat="1" ht="30" customHeight="1" thickBot="1" x14ac:dyDescent="0.3">
      <c r="A33" s="1267" t="s">
        <v>532</v>
      </c>
      <c r="B33" s="1268"/>
      <c r="C33" s="781" t="s">
        <v>212</v>
      </c>
      <c r="D33" s="1168"/>
    </row>
    <row r="34" spans="1:5" s="380" customFormat="1" ht="6" customHeight="1" thickBot="1" x14ac:dyDescent="0.3">
      <c r="A34" s="798"/>
      <c r="B34" s="798"/>
      <c r="C34" s="785"/>
      <c r="D34" s="800"/>
      <c r="E34" s="532"/>
    </row>
    <row r="35" spans="1:5" s="380" customFormat="1" ht="30" customHeight="1" thickBot="1" x14ac:dyDescent="0.3">
      <c r="A35" s="1267" t="s">
        <v>533</v>
      </c>
      <c r="B35" s="1268"/>
      <c r="C35" s="781" t="s">
        <v>212</v>
      </c>
      <c r="D35" s="1168"/>
    </row>
    <row r="36" spans="1:5" s="380" customFormat="1" ht="6" customHeight="1" thickBot="1" x14ac:dyDescent="0.3">
      <c r="A36" s="772"/>
      <c r="B36" s="772"/>
      <c r="C36" s="783"/>
      <c r="D36" s="801">
        <v>0</v>
      </c>
    </row>
    <row r="37" spans="1:5" s="380" customFormat="1" ht="26.25" customHeight="1" thickBot="1" x14ac:dyDescent="0.3">
      <c r="A37" s="1265" t="s">
        <v>534</v>
      </c>
      <c r="B37" s="1266"/>
      <c r="C37" s="781" t="s">
        <v>6</v>
      </c>
      <c r="D37" s="1168"/>
    </row>
    <row r="38" spans="1:5" s="380" customFormat="1" ht="6" customHeight="1" x14ac:dyDescent="0.25">
      <c r="A38" s="377"/>
      <c r="B38" s="377"/>
      <c r="C38" s="381"/>
      <c r="D38" s="382"/>
    </row>
    <row r="42" spans="1:5" hidden="1" x14ac:dyDescent="0.25">
      <c r="A42" s="579" t="s">
        <v>21</v>
      </c>
      <c r="B42" s="579"/>
      <c r="C42" s="536">
        <v>1</v>
      </c>
    </row>
    <row r="43" spans="1:5" hidden="1" x14ac:dyDescent="0.25">
      <c r="A43" s="579" t="s">
        <v>22</v>
      </c>
      <c r="B43" s="579"/>
      <c r="C43" s="536">
        <v>1</v>
      </c>
    </row>
    <row r="44" spans="1:5" hidden="1" x14ac:dyDescent="0.25">
      <c r="A44" s="579" t="s">
        <v>32</v>
      </c>
      <c r="B44" s="579"/>
      <c r="C44" s="536" t="b">
        <v>0</v>
      </c>
    </row>
    <row r="45" spans="1:5" hidden="1" x14ac:dyDescent="0.25">
      <c r="A45" s="579" t="s">
        <v>23</v>
      </c>
      <c r="B45" s="579"/>
      <c r="C45" s="536" t="b">
        <v>0</v>
      </c>
    </row>
    <row r="46" spans="1:5" hidden="1" x14ac:dyDescent="0.25">
      <c r="A46" s="579" t="s">
        <v>33</v>
      </c>
      <c r="B46" s="579"/>
      <c r="C46" s="536" t="b">
        <v>0</v>
      </c>
    </row>
    <row r="47" spans="1:5" hidden="1" x14ac:dyDescent="0.25">
      <c r="A47" s="579" t="s">
        <v>274</v>
      </c>
      <c r="B47" s="350"/>
      <c r="C47" s="536" t="b">
        <v>0</v>
      </c>
    </row>
    <row r="48" spans="1:5" ht="23.25" hidden="1" x14ac:dyDescent="0.25">
      <c r="A48" s="579" t="s">
        <v>220</v>
      </c>
      <c r="B48" s="351"/>
      <c r="C48" s="536">
        <v>1</v>
      </c>
    </row>
    <row r="78" spans="3:3" x14ac:dyDescent="0.25">
      <c r="C78" s="375">
        <v>1</v>
      </c>
    </row>
  </sheetData>
  <mergeCells count="14">
    <mergeCell ref="F3:H4"/>
    <mergeCell ref="A21:B21"/>
    <mergeCell ref="A19:B19"/>
    <mergeCell ref="A17:B17"/>
    <mergeCell ref="A15:B15"/>
    <mergeCell ref="A13:B13"/>
    <mergeCell ref="C8:D8"/>
    <mergeCell ref="C9:D9"/>
    <mergeCell ref="A37:B37"/>
    <mergeCell ref="A33:B33"/>
    <mergeCell ref="A35:B35"/>
    <mergeCell ref="A11:D11"/>
    <mergeCell ref="A1:D1"/>
    <mergeCell ref="A23:B31"/>
  </mergeCells>
  <phoneticPr fontId="7" type="noConversion"/>
  <printOptions horizontalCentered="1"/>
  <pageMargins left="0" right="0" top="0" bottom="0" header="0" footer="0"/>
  <pageSetup paperSize="9" orientation="landscape" horizontalDpi="300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1</xdr:col>
                    <xdr:colOff>962025</xdr:colOff>
                    <xdr:row>3</xdr:row>
                    <xdr:rowOff>19050</xdr:rowOff>
                  </from>
                  <to>
                    <xdr:col>3</xdr:col>
                    <xdr:colOff>1123950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Spinner 4">
              <controlPr locked="0" defaultSize="0" autoPict="0">
                <anchor moveWithCells="1" sizeWithCells="1">
                  <from>
                    <xdr:col>3</xdr:col>
                    <xdr:colOff>9525</xdr:colOff>
                    <xdr:row>20</xdr:row>
                    <xdr:rowOff>47625</xdr:rowOff>
                  </from>
                  <to>
                    <xdr:col>3</xdr:col>
                    <xdr:colOff>190500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Spinner 5">
              <controlPr defaultSize="0" autoPict="0">
                <anchor moveWithCells="1" sizeWithCells="1">
                  <from>
                    <xdr:col>3</xdr:col>
                    <xdr:colOff>9525</xdr:colOff>
                    <xdr:row>22</xdr:row>
                    <xdr:rowOff>57150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7" name="Spinner 10">
              <controlPr defaultSize="0" autoPict="0">
                <anchor moveWithCells="1" sizeWithCells="1">
                  <from>
                    <xdr:col>3</xdr:col>
                    <xdr:colOff>9525</xdr:colOff>
                    <xdr:row>22</xdr:row>
                    <xdr:rowOff>57150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8" name="Spinner 11">
              <controlPr locked="0" defaultSize="0" autoPict="0">
                <anchor moveWithCells="1" sizeWithCells="1">
                  <from>
                    <xdr:col>3</xdr:col>
                    <xdr:colOff>9525</xdr:colOff>
                    <xdr:row>22</xdr:row>
                    <xdr:rowOff>57150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9" name="Drop Down 16">
              <controlPr defaultSize="0" autoLine="0" autoPict="0">
                <anchor moveWithCells="1">
                  <from>
                    <xdr:col>1</xdr:col>
                    <xdr:colOff>962025</xdr:colOff>
                    <xdr:row>2</xdr:row>
                    <xdr:rowOff>19050</xdr:rowOff>
                  </from>
                  <to>
                    <xdr:col>3</xdr:col>
                    <xdr:colOff>1123950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Spinner 28">
              <controlPr locked="0" defaultSize="0" autoPict="0">
                <anchor moveWithCells="1" sizeWithCells="1">
                  <from>
                    <xdr:col>3</xdr:col>
                    <xdr:colOff>9525</xdr:colOff>
                    <xdr:row>36</xdr:row>
                    <xdr:rowOff>76200</xdr:rowOff>
                  </from>
                  <to>
                    <xdr:col>3</xdr:col>
                    <xdr:colOff>190500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1" name="Spinner 29">
              <controlPr locked="0" defaultSize="0" autoPict="0">
                <anchor moveWithCells="1" sizeWithCells="1">
                  <from>
                    <xdr:col>3</xdr:col>
                    <xdr:colOff>9525</xdr:colOff>
                    <xdr:row>38</xdr:row>
                    <xdr:rowOff>66675</xdr:rowOff>
                  </from>
                  <to>
                    <xdr:col>3</xdr:col>
                    <xdr:colOff>190500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2" name="Spinner 32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3" name="Option Button 35">
              <controlPr defaultSize="0" autoFill="0" autoLine="0" autoPict="0">
                <anchor moveWithCells="1">
                  <from>
                    <xdr:col>2</xdr:col>
                    <xdr:colOff>142875</xdr:colOff>
                    <xdr:row>7</xdr:row>
                    <xdr:rowOff>19050</xdr:rowOff>
                  </from>
                  <to>
                    <xdr:col>3</xdr:col>
                    <xdr:colOff>1028700</xdr:colOff>
                    <xdr:row>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14" name="Option Button 36">
              <controlPr defaultSize="0" autoFill="0" autoLine="0" autoPict="0">
                <anchor moveWithCells="1">
                  <from>
                    <xdr:col>2</xdr:col>
                    <xdr:colOff>142875</xdr:colOff>
                    <xdr:row>7</xdr:row>
                    <xdr:rowOff>238125</xdr:rowOff>
                  </from>
                  <to>
                    <xdr:col>3</xdr:col>
                    <xdr:colOff>904875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5" name="Spinner 42">
              <controlPr locked="0" defaultSize="0" autoPict="0">
                <anchor moveWithCells="1" sizeWithCells="1">
                  <from>
                    <xdr:col>3</xdr:col>
                    <xdr:colOff>0</xdr:colOff>
                    <xdr:row>38</xdr:row>
                    <xdr:rowOff>66675</xdr:rowOff>
                  </from>
                  <to>
                    <xdr:col>3</xdr:col>
                    <xdr:colOff>180975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6" name="Spinner 44">
              <controlPr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17" name="Spinner 47">
              <controlPr locked="0" defaultSize="0" autoPict="0">
                <anchor moveWithCells="1" sizeWithCells="1">
                  <from>
                    <xdr:col>3</xdr:col>
                    <xdr:colOff>9525</xdr:colOff>
                    <xdr:row>32</xdr:row>
                    <xdr:rowOff>66675</xdr:rowOff>
                  </from>
                  <to>
                    <xdr:col>3</xdr:col>
                    <xdr:colOff>190500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18" name="Spinner 48">
              <controlPr defaultSize="0" autoPict="0">
                <anchor moveWithCells="1" sizeWithCells="1">
                  <from>
                    <xdr:col>3</xdr:col>
                    <xdr:colOff>9525</xdr:colOff>
                    <xdr:row>33</xdr:row>
                    <xdr:rowOff>47625</xdr:rowOff>
                  </from>
                  <to>
                    <xdr:col>3</xdr:col>
                    <xdr:colOff>190500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9" name="Spinner 49">
              <controlPr defaultSize="0" autoPict="0">
                <anchor moveWithCells="1" sizeWithCells="1">
                  <from>
                    <xdr:col>3</xdr:col>
                    <xdr:colOff>9525</xdr:colOff>
                    <xdr:row>33</xdr:row>
                    <xdr:rowOff>47625</xdr:rowOff>
                  </from>
                  <to>
                    <xdr:col>3</xdr:col>
                    <xdr:colOff>190500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0" name="Spinner 50">
              <controlPr locked="0" defaultSize="0" autoPict="0">
                <anchor moveWithCells="1" sizeWithCells="1">
                  <from>
                    <xdr:col>3</xdr:col>
                    <xdr:colOff>9525</xdr:colOff>
                    <xdr:row>33</xdr:row>
                    <xdr:rowOff>47625</xdr:rowOff>
                  </from>
                  <to>
                    <xdr:col>3</xdr:col>
                    <xdr:colOff>190500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1" name="Spinner 51">
              <controlPr locked="0" defaultSize="0" autoPict="0">
                <anchor moveWithCells="1" sizeWithCells="1">
                  <from>
                    <xdr:col>3</xdr:col>
                    <xdr:colOff>9525</xdr:colOff>
                    <xdr:row>34</xdr:row>
                    <xdr:rowOff>66675</xdr:rowOff>
                  </from>
                  <to>
                    <xdr:col>3</xdr:col>
                    <xdr:colOff>190500</xdr:colOff>
                    <xdr:row>35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2" name="Spinner 52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3" name="Spinner 53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4" name="Spinner 54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5" name="Spinner 55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26" name="Spinner 56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27" name="Spinner 57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8" name="Spinner 58">
              <controlPr locked="0" defaultSize="0" autoPict="0">
                <anchor moveWithCells="1" sizeWithCells="1">
                  <from>
                    <xdr:col>3</xdr:col>
                    <xdr:colOff>9525</xdr:colOff>
                    <xdr:row>31</xdr:row>
                    <xdr:rowOff>38100</xdr:rowOff>
                  </from>
                  <to>
                    <xdr:col>3</xdr:col>
                    <xdr:colOff>190500</xdr:colOff>
                    <xdr:row>31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">
    <pageSetUpPr fitToPage="1"/>
  </sheetPr>
  <dimension ref="A1:Z90"/>
  <sheetViews>
    <sheetView zoomScale="55" zoomScaleNormal="55" workbookViewId="0">
      <selection sqref="A1:V1"/>
    </sheetView>
  </sheetViews>
  <sheetFormatPr defaultRowHeight="23.25" x14ac:dyDescent="0.25"/>
  <cols>
    <col min="1" max="1" width="41.875" style="861" customWidth="1"/>
    <col min="2" max="2" width="1.625" style="803" customWidth="1"/>
    <col min="3" max="3" width="10.625" style="804" customWidth="1"/>
    <col min="4" max="4" width="3.375" style="803" customWidth="1"/>
    <col min="5" max="5" width="18.75" style="861" bestFit="1" customWidth="1"/>
    <col min="6" max="7" width="18.75" style="861" customWidth="1"/>
    <col min="8" max="8" width="1.625" style="902" customWidth="1"/>
    <col min="9" max="9" width="15.875" style="861" customWidth="1"/>
    <col min="10" max="10" width="4.125" style="861" customWidth="1"/>
    <col min="11" max="11" width="14.5" style="861" bestFit="1" customWidth="1"/>
    <col min="12" max="12" width="11.5" style="861" bestFit="1" customWidth="1"/>
    <col min="13" max="13" width="12.625" style="861" customWidth="1"/>
    <col min="14" max="14" width="13" style="861" customWidth="1"/>
    <col min="15" max="15" width="9.875" style="861" customWidth="1"/>
    <col min="16" max="17" width="12.625" style="861" customWidth="1"/>
    <col min="18" max="18" width="9.875" style="861" customWidth="1"/>
    <col min="19" max="19" width="12.625" style="861" customWidth="1"/>
    <col min="20" max="20" width="1.625" style="902" customWidth="1"/>
    <col min="21" max="21" width="12.75" style="861" customWidth="1"/>
    <col min="22" max="22" width="12.625" style="861" customWidth="1"/>
    <col min="23" max="23" width="24.25" style="348" customWidth="1"/>
    <col min="24" max="24" width="13.375" style="348" customWidth="1"/>
    <col min="25" max="25" width="12.75" style="348" customWidth="1"/>
    <col min="26" max="26" width="11.625" style="348" customWidth="1"/>
    <col min="27" max="16384" width="9" style="348"/>
  </cols>
  <sheetData>
    <row r="1" spans="1:26" ht="26.25" x14ac:dyDescent="0.25">
      <c r="A1" s="1269" t="s">
        <v>548</v>
      </c>
      <c r="B1" s="1269"/>
      <c r="C1" s="1269"/>
      <c r="D1" s="1269"/>
      <c r="E1" s="1269"/>
      <c r="F1" s="1269"/>
      <c r="G1" s="1269"/>
      <c r="H1" s="1269"/>
      <c r="I1" s="1269"/>
      <c r="J1" s="1269"/>
      <c r="K1" s="1269"/>
      <c r="L1" s="1269"/>
      <c r="M1" s="1269"/>
      <c r="N1" s="1269"/>
      <c r="O1" s="1269"/>
      <c r="P1" s="1269"/>
      <c r="Q1" s="1269"/>
      <c r="R1" s="1269"/>
      <c r="S1" s="1269"/>
      <c r="T1" s="1269"/>
      <c r="U1" s="1269"/>
      <c r="V1" s="1269"/>
      <c r="W1" s="42"/>
      <c r="X1" s="42"/>
      <c r="Y1" s="42"/>
      <c r="Z1" s="42"/>
    </row>
    <row r="2" spans="1:26" ht="6" customHeight="1" thickBot="1" x14ac:dyDescent="0.3">
      <c r="A2" s="802"/>
      <c r="E2" s="802"/>
      <c r="F2" s="802"/>
      <c r="G2" s="802"/>
      <c r="H2" s="805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5"/>
      <c r="U2" s="802"/>
      <c r="V2" s="802"/>
    </row>
    <row r="3" spans="1:26" ht="32.1" customHeight="1" thickBot="1" x14ac:dyDescent="0.3">
      <c r="A3" s="806" t="s">
        <v>547</v>
      </c>
      <c r="E3" s="1294" t="s">
        <v>4</v>
      </c>
      <c r="F3" s="1295"/>
      <c r="G3" s="1295"/>
      <c r="H3" s="1296"/>
      <c r="I3" s="1297"/>
      <c r="J3" s="807"/>
      <c r="K3" s="1291" t="s">
        <v>352</v>
      </c>
      <c r="L3" s="1292"/>
      <c r="M3" s="1292"/>
      <c r="N3" s="1292"/>
      <c r="O3" s="1292"/>
      <c r="P3" s="1292"/>
      <c r="Q3" s="1292"/>
      <c r="R3" s="1292"/>
      <c r="S3" s="1292"/>
      <c r="T3" s="1292"/>
      <c r="U3" s="1292"/>
      <c r="V3" s="1293"/>
      <c r="W3" s="453"/>
    </row>
    <row r="4" spans="1:26" ht="6" customHeight="1" thickBot="1" x14ac:dyDescent="0.3">
      <c r="A4" s="805"/>
      <c r="C4" s="803"/>
      <c r="E4" s="802"/>
      <c r="F4" s="802"/>
      <c r="G4" s="802"/>
      <c r="H4" s="805"/>
      <c r="I4" s="802"/>
      <c r="J4" s="802"/>
      <c r="K4" s="802"/>
      <c r="L4" s="802"/>
      <c r="M4" s="802"/>
      <c r="N4" s="802"/>
      <c r="O4" s="802"/>
      <c r="P4" s="802"/>
      <c r="Q4" s="802"/>
      <c r="R4" s="802"/>
      <c r="S4" s="802"/>
      <c r="T4" s="805"/>
      <c r="U4" s="802"/>
      <c r="V4" s="802"/>
      <c r="W4" s="385"/>
    </row>
    <row r="5" spans="1:26" ht="32.1" customHeight="1" thickBot="1" x14ac:dyDescent="0.3">
      <c r="A5" s="808" t="s">
        <v>550</v>
      </c>
      <c r="C5" s="803"/>
      <c r="E5" s="1306">
        <f>IF(OR('2-Dati generali-Cond. utilizzo'!C42=2,'2-Dati generali-Cond. utilizzo'!C42=3,'2-Dati generali-Cond. utilizzo'!C42=4),ROUND('Defrost VRV'!J19,0)/'1-Ore funzionamento'!AI7,ROUND('Defrost VRV'!J19,0))</f>
        <v>0</v>
      </c>
      <c r="F5" s="1307"/>
      <c r="G5" s="1307"/>
      <c r="H5" s="1307"/>
      <c r="I5" s="1308"/>
      <c r="J5" s="802"/>
      <c r="K5" s="1291">
        <f>ROUND('Defrost VRV'!I19,0)</f>
        <v>0</v>
      </c>
      <c r="L5" s="1292"/>
      <c r="M5" s="1292"/>
      <c r="N5" s="1292"/>
      <c r="O5" s="1292"/>
      <c r="P5" s="1292"/>
      <c r="Q5" s="1292"/>
      <c r="R5" s="1292"/>
      <c r="S5" s="1293"/>
      <c r="T5" s="805"/>
      <c r="U5" s="802"/>
      <c r="V5" s="802"/>
      <c r="W5" s="385"/>
    </row>
    <row r="6" spans="1:26" ht="6" customHeight="1" thickBot="1" x14ac:dyDescent="0.3">
      <c r="A6" s="805"/>
      <c r="C6" s="803"/>
      <c r="E6" s="802"/>
      <c r="F6" s="802"/>
      <c r="G6" s="802"/>
      <c r="H6" s="805"/>
      <c r="I6" s="802"/>
      <c r="J6" s="802"/>
      <c r="K6" s="802"/>
      <c r="L6" s="802"/>
      <c r="M6" s="802"/>
      <c r="N6" s="802"/>
      <c r="O6" s="802"/>
      <c r="P6" s="802"/>
      <c r="Q6" s="802"/>
      <c r="R6" s="802"/>
      <c r="S6" s="802"/>
      <c r="T6" s="805"/>
      <c r="U6" s="802"/>
      <c r="V6" s="802"/>
      <c r="W6" s="385"/>
    </row>
    <row r="7" spans="1:26" ht="32.1" customHeight="1" thickBot="1" x14ac:dyDescent="0.3">
      <c r="A7" s="1304" t="s">
        <v>551</v>
      </c>
      <c r="E7" s="809"/>
      <c r="F7" s="809"/>
      <c r="G7" s="809"/>
      <c r="H7" s="803"/>
      <c r="I7" s="806" t="s">
        <v>71</v>
      </c>
      <c r="J7" s="803"/>
      <c r="K7" s="1298"/>
      <c r="L7" s="1299"/>
      <c r="M7" s="1300"/>
      <c r="N7" s="1298"/>
      <c r="O7" s="1299"/>
      <c r="P7" s="1300"/>
      <c r="Q7" s="1301"/>
      <c r="R7" s="1302"/>
      <c r="S7" s="1303"/>
      <c r="T7" s="799"/>
      <c r="U7" s="799"/>
      <c r="V7" s="810"/>
      <c r="W7" s="453"/>
    </row>
    <row r="8" spans="1:26" ht="32.1" customHeight="1" thickBot="1" x14ac:dyDescent="0.3">
      <c r="A8" s="1305"/>
      <c r="E8" s="811"/>
      <c r="F8" s="811"/>
      <c r="G8" s="811"/>
      <c r="H8" s="805"/>
      <c r="I8" s="802"/>
      <c r="J8" s="802"/>
      <c r="K8" s="1309"/>
      <c r="L8" s="1310"/>
      <c r="M8" s="1311"/>
      <c r="N8" s="1309"/>
      <c r="O8" s="1310"/>
      <c r="P8" s="1311"/>
      <c r="Q8" s="1309"/>
      <c r="R8" s="1310"/>
      <c r="S8" s="1311"/>
      <c r="T8" s="805"/>
      <c r="U8" s="802"/>
      <c r="V8" s="805"/>
    </row>
    <row r="9" spans="1:26" ht="6" customHeight="1" thickBot="1" x14ac:dyDescent="0.3">
      <c r="A9" s="802"/>
      <c r="E9" s="802"/>
      <c r="F9" s="802"/>
      <c r="G9" s="802"/>
      <c r="H9" s="805"/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/>
      <c r="T9" s="805"/>
      <c r="U9" s="802"/>
      <c r="V9" s="805"/>
    </row>
    <row r="10" spans="1:26" ht="32.1" customHeight="1" thickBot="1" x14ac:dyDescent="0.3">
      <c r="A10" s="808" t="s">
        <v>552</v>
      </c>
      <c r="E10" s="812">
        <v>0</v>
      </c>
      <c r="F10" s="813">
        <v>0</v>
      </c>
      <c r="G10" s="814">
        <v>0</v>
      </c>
      <c r="H10" s="815"/>
      <c r="I10" s="816"/>
      <c r="J10" s="817"/>
      <c r="K10" s="1285">
        <v>0</v>
      </c>
      <c r="L10" s="1286"/>
      <c r="M10" s="1287"/>
      <c r="N10" s="1285">
        <v>0</v>
      </c>
      <c r="O10" s="1286"/>
      <c r="P10" s="1287"/>
      <c r="Q10" s="1288">
        <v>0</v>
      </c>
      <c r="R10" s="1289"/>
      <c r="S10" s="1290"/>
      <c r="T10" s="815"/>
      <c r="U10" s="815"/>
      <c r="V10" s="815"/>
    </row>
    <row r="11" spans="1:26" ht="6" customHeight="1" thickBot="1" x14ac:dyDescent="0.3">
      <c r="A11" s="802"/>
      <c r="E11" s="802"/>
      <c r="F11" s="802"/>
      <c r="G11" s="802"/>
      <c r="H11" s="805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5"/>
      <c r="U11" s="802"/>
      <c r="V11" s="805"/>
    </row>
    <row r="12" spans="1:26" ht="32.1" customHeight="1" thickBot="1" x14ac:dyDescent="0.3">
      <c r="A12" s="808" t="s">
        <v>5</v>
      </c>
      <c r="C12" s="818" t="s">
        <v>10</v>
      </c>
      <c r="D12" s="819"/>
      <c r="E12" s="820">
        <f>INDEX(Tabella_caratteristiche_ghp,C80,6)</f>
        <v>0</v>
      </c>
      <c r="F12" s="821">
        <f>INDEX(Tabella_caratteristiche_ghp,D80,6)</f>
        <v>0</v>
      </c>
      <c r="G12" s="821">
        <f>INDEX(Tabella_caratteristiche_ghp,E80,6)</f>
        <v>0</v>
      </c>
      <c r="H12" s="815"/>
      <c r="I12" s="815"/>
      <c r="J12" s="815"/>
      <c r="K12" s="1285"/>
      <c r="L12" s="1286"/>
      <c r="M12" s="1287"/>
      <c r="N12" s="1285"/>
      <c r="O12" s="1286"/>
      <c r="P12" s="1287"/>
      <c r="Q12" s="1288"/>
      <c r="R12" s="1289"/>
      <c r="S12" s="1290"/>
      <c r="T12" s="815"/>
      <c r="U12" s="815"/>
      <c r="V12" s="822"/>
    </row>
    <row r="13" spans="1:26" ht="6" customHeight="1" thickBot="1" x14ac:dyDescent="0.3">
      <c r="A13" s="802"/>
      <c r="E13" s="823"/>
      <c r="F13" s="823"/>
      <c r="G13" s="823"/>
      <c r="H13" s="824"/>
      <c r="I13" s="823"/>
      <c r="J13" s="823"/>
      <c r="K13" s="825"/>
      <c r="L13" s="825"/>
      <c r="M13" s="825"/>
      <c r="N13" s="825"/>
      <c r="O13" s="825"/>
      <c r="P13" s="825"/>
      <c r="Q13" s="825"/>
      <c r="R13" s="825"/>
      <c r="S13" s="825"/>
      <c r="T13" s="826"/>
      <c r="U13" s="825"/>
      <c r="V13" s="825"/>
    </row>
    <row r="14" spans="1:26" ht="32.1" customHeight="1" thickBot="1" x14ac:dyDescent="0.3">
      <c r="A14" s="808" t="s">
        <v>553</v>
      </c>
      <c r="C14" s="818" t="s">
        <v>6</v>
      </c>
      <c r="D14" s="819"/>
      <c r="E14" s="827">
        <f>INDEX(Tabella_caratteristiche_ghp,$C$80,4)*E10</f>
        <v>0</v>
      </c>
      <c r="F14" s="827">
        <f>INDEX(Tabella_caratteristiche_ghp,$D$80,4)*F10</f>
        <v>0</v>
      </c>
      <c r="G14" s="827">
        <f>INDEX(Tabella_caratteristiche_ghp,$E$80,4)*G10</f>
        <v>0</v>
      </c>
      <c r="H14" s="828"/>
      <c r="I14" s="829">
        <f>SUM(E14:G14)</f>
        <v>0</v>
      </c>
      <c r="J14" s="830"/>
      <c r="K14" s="1321"/>
      <c r="L14" s="1322"/>
      <c r="M14" s="831">
        <f>IF('2-Dati generali-Cond. utilizzo'!$C$42=1,INDEX('Rendimenti e consumi VRV'!A78:L84,C87,5),0)</f>
        <v>0</v>
      </c>
      <c r="N14" s="1321"/>
      <c r="O14" s="1322"/>
      <c r="P14" s="831">
        <f>IF('2-Dati generali-Cond. utilizzo'!$C$42=1,INDEX('Rendimenti e consumi VRV'!A78:L84,D87,5),0)</f>
        <v>0</v>
      </c>
      <c r="Q14" s="1321"/>
      <c r="R14" s="1322"/>
      <c r="S14" s="831">
        <f>IF('2-Dati generali-Cond. utilizzo'!$C$42=1,INDEX('Rendimenti e consumi VRV'!A78:L84,E87,5),0)</f>
        <v>0</v>
      </c>
      <c r="T14" s="830"/>
      <c r="U14" s="1314">
        <f>(K14*K10)+(N14*N10)+(Q14*Q10)+(M14*K10)+(P14*N10)+(S14*Q10)</f>
        <v>0</v>
      </c>
      <c r="V14" s="1315"/>
      <c r="W14" s="454"/>
      <c r="X14" s="455"/>
    </row>
    <row r="15" spans="1:26" ht="6" customHeight="1" thickBot="1" x14ac:dyDescent="0.3">
      <c r="A15" s="802"/>
      <c r="E15" s="823"/>
      <c r="F15" s="823"/>
      <c r="G15" s="823"/>
      <c r="H15" s="824"/>
      <c r="I15" s="823"/>
      <c r="J15" s="823"/>
      <c r="K15" s="832"/>
      <c r="L15" s="832"/>
      <c r="M15" s="832">
        <f>K15-L15</f>
        <v>0</v>
      </c>
      <c r="N15" s="832">
        <f>IF(N14&gt;0,1,0)</f>
        <v>0</v>
      </c>
      <c r="O15" s="832">
        <f>IF(P14&gt;0,1,0)</f>
        <v>0</v>
      </c>
      <c r="P15" s="832">
        <f>N15-O15</f>
        <v>0</v>
      </c>
      <c r="Q15" s="832">
        <f>IF(Q14&gt;0,1,0)</f>
        <v>0</v>
      </c>
      <c r="R15" s="832">
        <f>IF(S14&gt;0,1,0)</f>
        <v>0</v>
      </c>
      <c r="S15" s="832">
        <f>Q15-R15</f>
        <v>0</v>
      </c>
      <c r="T15" s="826"/>
      <c r="U15" s="825"/>
      <c r="V15" s="825"/>
    </row>
    <row r="16" spans="1:26" ht="32.1" customHeight="1" thickBot="1" x14ac:dyDescent="0.3">
      <c r="A16" s="808" t="s">
        <v>554</v>
      </c>
      <c r="C16" s="818" t="s">
        <v>6</v>
      </c>
      <c r="D16" s="819"/>
      <c r="E16" s="827">
        <f>INDEX(Tabella_caratteristiche_ghp,C80,5)*E10</f>
        <v>0</v>
      </c>
      <c r="F16" s="827">
        <f>INDEX(Tabella_caratteristiche_ghp,D80,5)*F10</f>
        <v>0</v>
      </c>
      <c r="G16" s="827">
        <f>INDEX(Tabella_caratteristiche_ghp,E80,5)*G10</f>
        <v>0</v>
      </c>
      <c r="H16" s="828"/>
      <c r="I16" s="833">
        <f>SUM(E16:G16)</f>
        <v>0</v>
      </c>
      <c r="J16" s="830"/>
      <c r="K16" s="1339"/>
      <c r="L16" s="1340"/>
      <c r="M16" s="834">
        <f>IF('2-Dati generali-Cond. utilizzo'!$C$42=1,INDEX('Rendimenti e consumi VRV'!A78:L84,C87,6),0)</f>
        <v>0</v>
      </c>
      <c r="N16" s="1321"/>
      <c r="O16" s="1322"/>
      <c r="P16" s="831">
        <f>IF('2-Dati generali-Cond. utilizzo'!$C$42=1,INDEX('Rendimenti e consumi VRV'!A78:L84,D87,6),0)</f>
        <v>0</v>
      </c>
      <c r="Q16" s="1319"/>
      <c r="R16" s="1320"/>
      <c r="S16" s="834">
        <f>IF('2-Dati generali-Cond. utilizzo'!$C$42=1,INDEX('Rendimenti e consumi VRV'!A78:L84,E87,6),0)</f>
        <v>0</v>
      </c>
      <c r="T16" s="830"/>
      <c r="U16" s="1314">
        <f>(K16*K10)+(N16*N10)+(Q16*Q10)+(M16*K10)+(P16*N10)+(S16*Q10)</f>
        <v>0</v>
      </c>
      <c r="V16" s="1315"/>
      <c r="W16" s="456"/>
      <c r="X16" s="457"/>
    </row>
    <row r="17" spans="1:24" ht="6" customHeight="1" thickBot="1" x14ac:dyDescent="0.3">
      <c r="A17" s="802"/>
      <c r="E17" s="823"/>
      <c r="F17" s="823"/>
      <c r="G17" s="823"/>
      <c r="H17" s="824"/>
      <c r="I17" s="823"/>
      <c r="J17" s="823"/>
      <c r="K17" s="832">
        <f>IF(K16&gt;0,1,0)</f>
        <v>0</v>
      </c>
      <c r="L17" s="832">
        <f>IF(M16&gt;0,1,0)</f>
        <v>0</v>
      </c>
      <c r="M17" s="832">
        <f>K17-L17</f>
        <v>0</v>
      </c>
      <c r="N17" s="832">
        <f>IF(N16&gt;0,1,0)</f>
        <v>0</v>
      </c>
      <c r="O17" s="832">
        <f>IF(P16&gt;0,1,0)</f>
        <v>0</v>
      </c>
      <c r="P17" s="832">
        <f>N17-O17</f>
        <v>0</v>
      </c>
      <c r="Q17" s="832">
        <f>IF(Q16&gt;0,1,0)</f>
        <v>0</v>
      </c>
      <c r="R17" s="832">
        <f>IF(S16&gt;0,1,0)</f>
        <v>0</v>
      </c>
      <c r="S17" s="832">
        <f>Q17-R17</f>
        <v>0</v>
      </c>
      <c r="T17" s="835"/>
      <c r="U17" s="836"/>
      <c r="V17" s="836"/>
      <c r="X17" s="458"/>
    </row>
    <row r="18" spans="1:24" ht="32.1" hidden="1" customHeight="1" thickBot="1" x14ac:dyDescent="0.3">
      <c r="A18" s="837" t="s">
        <v>12</v>
      </c>
      <c r="C18" s="838" t="s">
        <v>6</v>
      </c>
      <c r="D18" s="819"/>
      <c r="E18" s="839">
        <f>E16*0.95</f>
        <v>0</v>
      </c>
      <c r="F18" s="840">
        <f>F16*0.95</f>
        <v>0</v>
      </c>
      <c r="G18" s="841">
        <f>G16*0.95</f>
        <v>0</v>
      </c>
      <c r="H18" s="828"/>
      <c r="I18" s="842">
        <f>SUM(E18:G18)</f>
        <v>0</v>
      </c>
      <c r="J18" s="830"/>
      <c r="K18" s="1316">
        <v>0</v>
      </c>
      <c r="L18" s="1317"/>
      <c r="M18" s="1318"/>
      <c r="N18" s="1316">
        <f>IF($D$87=7,(IF('2-Dati generali-Cond. utilizzo'!$C$42&lt;3,N16*0.75,IF('2-Dati generali-Cond. utilizzo'!$C$42&lt;5,N16,N16*0.95))),(IF('2-Dati generali-Cond. utilizzo'!$C$42&lt;3,P16*0.75,IF('2-Dati generali-Cond. utilizzo'!$C$42&lt;5,P16,P16*0.95))))</f>
        <v>0</v>
      </c>
      <c r="O18" s="1317"/>
      <c r="P18" s="1318"/>
      <c r="Q18" s="1316">
        <f>IF($E$87=7,(IF('2-Dati generali-Cond. utilizzo'!$C$42&lt;3,Q16*0.75,IF('2-Dati generali-Cond. utilizzo'!$C$42&lt;5,Q16,Q16*0.95))),(IF('2-Dati generali-Cond. utilizzo'!$C$42&lt;3,S16*0.75,IF('2-Dati generali-Cond. utilizzo'!$C$42&lt;5,S16,S16*0.95))))</f>
        <v>0</v>
      </c>
      <c r="R18" s="1317"/>
      <c r="S18" s="1318"/>
      <c r="T18" s="843"/>
      <c r="U18" s="1312">
        <f>(K18*K10)+(N18*N10)+(Q18*Q10)</f>
        <v>0</v>
      </c>
      <c r="V18" s="1313"/>
      <c r="X18" s="458"/>
    </row>
    <row r="19" spans="1:24" ht="6" hidden="1" customHeight="1" thickBot="1" x14ac:dyDescent="0.3">
      <c r="A19" s="802"/>
      <c r="E19" s="823"/>
      <c r="F19" s="823"/>
      <c r="G19" s="823"/>
      <c r="H19" s="824"/>
      <c r="I19" s="823"/>
      <c r="J19" s="823"/>
      <c r="K19" s="836"/>
      <c r="L19" s="836"/>
      <c r="M19" s="836"/>
      <c r="N19" s="836"/>
      <c r="O19" s="836"/>
      <c r="P19" s="836"/>
      <c r="Q19" s="836"/>
      <c r="R19" s="836"/>
      <c r="S19" s="836"/>
      <c r="T19" s="835"/>
      <c r="U19" s="836"/>
      <c r="V19" s="836"/>
      <c r="X19" s="458"/>
    </row>
    <row r="20" spans="1:24" ht="32.1" customHeight="1" thickBot="1" x14ac:dyDescent="0.3">
      <c r="A20" s="808" t="s">
        <v>732</v>
      </c>
      <c r="C20" s="803"/>
      <c r="E20" s="824"/>
      <c r="F20" s="824"/>
      <c r="G20" s="824"/>
      <c r="H20" s="824"/>
      <c r="I20" s="824"/>
      <c r="J20" s="823"/>
      <c r="K20" s="836"/>
      <c r="L20" s="836"/>
      <c r="M20" s="836"/>
      <c r="N20" s="836"/>
      <c r="O20" s="836"/>
      <c r="P20" s="836"/>
      <c r="Q20" s="836"/>
      <c r="R20" s="836"/>
      <c r="S20" s="836"/>
      <c r="T20" s="835"/>
      <c r="U20" s="836"/>
      <c r="V20" s="836"/>
      <c r="X20" s="458"/>
    </row>
    <row r="21" spans="1:24" ht="6" customHeight="1" thickBot="1" x14ac:dyDescent="0.3">
      <c r="A21" s="802"/>
      <c r="E21" s="823"/>
      <c r="F21" s="823"/>
      <c r="G21" s="823"/>
      <c r="H21" s="824"/>
      <c r="I21" s="823"/>
      <c r="J21" s="823"/>
      <c r="K21" s="836"/>
      <c r="L21" s="836"/>
      <c r="M21" s="836"/>
      <c r="N21" s="836"/>
      <c r="O21" s="836"/>
      <c r="P21" s="836"/>
      <c r="Q21" s="836"/>
      <c r="R21" s="836"/>
      <c r="S21" s="836"/>
      <c r="T21" s="835"/>
      <c r="U21" s="836"/>
      <c r="V21" s="836"/>
      <c r="X21" s="458"/>
    </row>
    <row r="22" spans="1:24" ht="32.1" customHeight="1" x14ac:dyDescent="0.25">
      <c r="A22" s="1323" t="s">
        <v>733</v>
      </c>
      <c r="C22" s="844" t="s">
        <v>670</v>
      </c>
      <c r="E22" s="845" t="str">
        <f>IF(C86=1,IF(E10&gt;0,(INDEX('Dati x formule'!$A$15:$M$28,C80,13)*E10),""),"")</f>
        <v/>
      </c>
      <c r="F22" s="845" t="str">
        <f>IF(D86=1,IF(F10&gt;0,(INDEX('Dati x formule'!$A$15:$M$28,D80,13)*F10),""),"")</f>
        <v/>
      </c>
      <c r="G22" s="845" t="str">
        <f>IF(E86=1,IF(G10&gt;0,(INDEX('Dati x formule'!$A$15:$M$28,E80,13)*G10),""),"")</f>
        <v/>
      </c>
      <c r="H22" s="846"/>
      <c r="I22" s="847" t="str">
        <f>IF(AND(E22="",F22="",G22=""),"",SUM(E22:G22))</f>
        <v/>
      </c>
      <c r="J22" s="846"/>
      <c r="K22" s="836"/>
      <c r="L22" s="836"/>
      <c r="M22" s="836"/>
      <c r="N22" s="836"/>
      <c r="O22" s="836"/>
      <c r="P22" s="836"/>
      <c r="Q22" s="836"/>
      <c r="R22" s="836"/>
      <c r="S22" s="836"/>
      <c r="T22" s="835"/>
      <c r="U22" s="836"/>
      <c r="V22" s="836"/>
      <c r="X22" s="458"/>
    </row>
    <row r="23" spans="1:24" ht="32.1" customHeight="1" x14ac:dyDescent="0.25">
      <c r="A23" s="1324"/>
      <c r="C23" s="844" t="s">
        <v>6</v>
      </c>
      <c r="E23" s="848" t="str">
        <f>IF(C86=2,"NO",IF('2-Dati generali-Cond. utilizzo'!$C$43=1,E65*'Dati x formule'!$D$4/2,IF('2-Dati generali-Cond. utilizzo'!$C$43=2,E65*'Dati x formule'!$D$5/2,E65*'Dati x formule'!$D$6/2)))</f>
        <v>NO</v>
      </c>
      <c r="F23" s="848" t="str">
        <f>IF(D86=2,"NO",IF('2-Dati generali-Cond. utilizzo'!$C$43=1,F65*'Dati x formule'!$D$4/2,IF('2-Dati generali-Cond. utilizzo'!$C$43=2,F65*'Dati x formule'!$D$5/2,F65*'Dati x formule'!$D$6/2)))</f>
        <v>NO</v>
      </c>
      <c r="G23" s="848" t="str">
        <f>IF(E86=2,"NO",IF('2-Dati generali-Cond. utilizzo'!$C$43=1,G65*'Dati x formule'!$D$4/2,IF('2-Dati generali-Cond. utilizzo'!$C$43=2,G65*'Dati x formule'!$D$5/2,G65*'Dati x formule'!$D$6/2)))</f>
        <v>NO</v>
      </c>
      <c r="H23" s="846"/>
      <c r="I23" s="849" t="str">
        <f>IF(AND(E23="NO",F23="NO",G23="NO"),"NO",SUM(E23:G23))</f>
        <v>NO</v>
      </c>
      <c r="J23" s="846"/>
      <c r="K23" s="836"/>
      <c r="L23" s="836"/>
      <c r="M23" s="836"/>
      <c r="N23" s="836"/>
      <c r="O23" s="836"/>
      <c r="P23" s="836"/>
      <c r="Q23" s="836"/>
      <c r="R23" s="836"/>
      <c r="S23" s="836"/>
      <c r="T23" s="835"/>
      <c r="U23" s="836"/>
      <c r="V23" s="836"/>
      <c r="X23" s="458"/>
    </row>
    <row r="24" spans="1:24" ht="32.1" customHeight="1" x14ac:dyDescent="0.25">
      <c r="A24" s="1324"/>
      <c r="C24" s="850" t="s">
        <v>671</v>
      </c>
      <c r="E24" s="851">
        <v>30</v>
      </c>
      <c r="F24" s="852">
        <v>30</v>
      </c>
      <c r="G24" s="852">
        <v>30</v>
      </c>
      <c r="H24" s="846"/>
      <c r="I24" s="853">
        <f>IF(I22&gt;0,30,0)</f>
        <v>30</v>
      </c>
      <c r="J24" s="846"/>
      <c r="K24" s="836"/>
      <c r="L24" s="836"/>
      <c r="M24" s="836"/>
      <c r="N24" s="836"/>
      <c r="O24" s="836"/>
      <c r="P24" s="836"/>
      <c r="Q24" s="836"/>
      <c r="R24" s="836"/>
      <c r="S24" s="836"/>
      <c r="T24" s="835"/>
      <c r="U24" s="836"/>
      <c r="V24" s="836"/>
      <c r="X24" s="458"/>
    </row>
    <row r="25" spans="1:24" ht="32.1" customHeight="1" thickBot="1" x14ac:dyDescent="0.3">
      <c r="A25" s="1325"/>
      <c r="C25" s="854" t="s">
        <v>544</v>
      </c>
      <c r="E25" s="855" t="str">
        <f>IF(E23="no","",E23*860/E24)</f>
        <v/>
      </c>
      <c r="F25" s="855" t="str">
        <f>IF(F23="no","",F22*860/30)</f>
        <v/>
      </c>
      <c r="G25" s="855" t="str">
        <f>IF(G23="no","",G22*860/30)</f>
        <v/>
      </c>
      <c r="H25" s="846"/>
      <c r="I25" s="856">
        <f>IF(AND(E25="NO",F25="NO",G25="NO"),"NO",SUM(E25:G25))</f>
        <v>0</v>
      </c>
      <c r="J25" s="846"/>
      <c r="K25" s="836"/>
      <c r="L25" s="836"/>
      <c r="M25" s="836"/>
      <c r="N25" s="836"/>
      <c r="O25" s="836"/>
      <c r="P25" s="836"/>
      <c r="Q25" s="836"/>
      <c r="R25" s="836"/>
      <c r="S25" s="836"/>
      <c r="T25" s="835"/>
      <c r="U25" s="836"/>
      <c r="V25" s="836"/>
      <c r="X25" s="458"/>
    </row>
    <row r="26" spans="1:24" ht="6" customHeight="1" x14ac:dyDescent="0.25">
      <c r="A26" s="802"/>
      <c r="E26" s="857"/>
      <c r="F26" s="857"/>
      <c r="G26" s="857"/>
      <c r="H26" s="858"/>
      <c r="I26" s="857"/>
      <c r="J26" s="857"/>
      <c r="K26" s="859"/>
      <c r="L26" s="859"/>
      <c r="M26" s="859"/>
      <c r="N26" s="859"/>
      <c r="O26" s="859"/>
      <c r="P26" s="859"/>
      <c r="Q26" s="859"/>
      <c r="R26" s="859"/>
      <c r="S26" s="859"/>
      <c r="T26" s="860"/>
      <c r="U26" s="859"/>
      <c r="V26" s="859"/>
      <c r="X26" s="458"/>
    </row>
    <row r="27" spans="1:24" ht="24.95" customHeight="1" thickBot="1" x14ac:dyDescent="0.3">
      <c r="A27" s="802"/>
      <c r="E27" s="857"/>
      <c r="F27" s="857"/>
      <c r="G27" s="857"/>
      <c r="H27" s="858"/>
      <c r="I27" s="857"/>
      <c r="J27" s="857"/>
      <c r="K27" s="859"/>
      <c r="L27" s="859"/>
      <c r="M27" s="859"/>
      <c r="N27" s="859"/>
      <c r="O27" s="859"/>
      <c r="P27" s="859"/>
      <c r="Q27" s="859"/>
      <c r="R27" s="859"/>
      <c r="S27" s="859"/>
      <c r="T27" s="860"/>
      <c r="U27" s="859"/>
      <c r="V27" s="859"/>
      <c r="X27" s="458"/>
    </row>
    <row r="28" spans="1:24" ht="24.95" customHeight="1" thickBot="1" x14ac:dyDescent="0.3">
      <c r="A28" s="802"/>
      <c r="E28" s="1330" t="s">
        <v>555</v>
      </c>
      <c r="F28" s="1331"/>
      <c r="G28" s="1331"/>
      <c r="H28" s="1331"/>
      <c r="I28" s="1332"/>
      <c r="J28" s="857"/>
      <c r="K28" s="859"/>
      <c r="L28" s="859"/>
      <c r="M28" s="859"/>
      <c r="N28" s="859"/>
      <c r="O28" s="859"/>
      <c r="P28" s="859"/>
      <c r="Q28" s="859"/>
      <c r="R28" s="859"/>
      <c r="S28" s="859"/>
      <c r="T28" s="860"/>
      <c r="U28" s="859"/>
      <c r="V28" s="859"/>
      <c r="X28" s="458"/>
    </row>
    <row r="29" spans="1:24" ht="24.95" customHeight="1" thickBot="1" x14ac:dyDescent="0.3">
      <c r="A29" s="802"/>
      <c r="E29" s="1333"/>
      <c r="F29" s="1334"/>
      <c r="G29" s="1334"/>
      <c r="H29" s="1334"/>
      <c r="I29" s="1335"/>
      <c r="J29" s="857"/>
      <c r="K29" s="1291" t="s">
        <v>557</v>
      </c>
      <c r="L29" s="1293"/>
      <c r="M29" s="859"/>
      <c r="N29" s="1291" t="s">
        <v>557</v>
      </c>
      <c r="O29" s="1293"/>
      <c r="P29" s="859"/>
      <c r="Q29" s="1291" t="s">
        <v>557</v>
      </c>
      <c r="R29" s="1293"/>
      <c r="S29" s="859"/>
      <c r="T29" s="860"/>
      <c r="U29" s="859"/>
      <c r="V29" s="859"/>
      <c r="X29" s="458"/>
    </row>
    <row r="30" spans="1:24" ht="69" customHeight="1" thickBot="1" x14ac:dyDescent="0.3">
      <c r="A30" s="802"/>
      <c r="E30" s="1336"/>
      <c r="F30" s="1337"/>
      <c r="G30" s="1337"/>
      <c r="H30" s="1337"/>
      <c r="I30" s="1338"/>
      <c r="J30" s="857"/>
      <c r="K30" s="1326" t="s">
        <v>558</v>
      </c>
      <c r="L30" s="1328" t="s">
        <v>301</v>
      </c>
      <c r="M30" s="932"/>
      <c r="N30" s="1326" t="s">
        <v>558</v>
      </c>
      <c r="O30" s="1328" t="s">
        <v>301</v>
      </c>
      <c r="P30" s="932"/>
      <c r="Q30" s="1326" t="s">
        <v>558</v>
      </c>
      <c r="R30" s="1328" t="s">
        <v>301</v>
      </c>
      <c r="S30" s="859"/>
      <c r="T30" s="860"/>
      <c r="U30" s="859"/>
      <c r="V30" s="859"/>
      <c r="X30" s="458"/>
    </row>
    <row r="31" spans="1:24" ht="32.1" customHeight="1" thickBot="1" x14ac:dyDescent="0.3">
      <c r="A31" s="808" t="s">
        <v>559</v>
      </c>
      <c r="C31" s="803"/>
      <c r="H31" s="861"/>
      <c r="J31" s="862"/>
      <c r="K31" s="1327"/>
      <c r="L31" s="1329"/>
      <c r="M31" s="862"/>
      <c r="N31" s="1327"/>
      <c r="O31" s="1329"/>
      <c r="P31" s="862"/>
      <c r="Q31" s="1327"/>
      <c r="R31" s="1329"/>
      <c r="S31" s="862"/>
      <c r="T31" s="862"/>
      <c r="U31" s="862"/>
      <c r="V31" s="863"/>
      <c r="W31" s="456"/>
      <c r="X31" s="459"/>
    </row>
    <row r="32" spans="1:24" ht="23.25" customHeight="1" thickBot="1" x14ac:dyDescent="0.3">
      <c r="A32" s="864" t="s">
        <v>353</v>
      </c>
      <c r="C32" s="865" t="s">
        <v>206</v>
      </c>
      <c r="E32" s="866">
        <f>INDEX(Tabella_caratteristiche_ghp,$C$80,7)*$E$10*'1-Ore funzionamento'!$AG7*1</f>
        <v>0</v>
      </c>
      <c r="F32" s="866">
        <f>INDEX(Tabella_caratteristiche_ghp,$D$80,7)*$F$10*'1-Ore funzionamento'!$AG7*1</f>
        <v>0</v>
      </c>
      <c r="G32" s="866">
        <f>INDEX(Tabella_caratteristiche_ghp,$E$80,7)*$G$10*'1-Ore funzionamento'!$AG7*1</f>
        <v>0</v>
      </c>
      <c r="H32" s="861"/>
      <c r="I32" s="867">
        <f>SUM(E32:G32)</f>
        <v>0</v>
      </c>
      <c r="K32" s="868"/>
      <c r="L32" s="869">
        <f>IF('2-Dati generali-Cond. utilizzo'!$C$48=2,IF('2-Dati generali-Cond. utilizzo'!$C$42=1,IF($C$87=7,0,INDEX('Rendimenti e consumi VRV'!$A$25:$P$30,$C$87,5)/'Defrost VRV'!I80),0),0)</f>
        <v>0</v>
      </c>
      <c r="M32" s="870">
        <f>IF('2-Dati generali-Cond. utilizzo'!$C$48=1,$K32*'1-Ore funzionamento'!$AF7*$K$10,IF($C$87=7,$K32*'1-Ore funzionamento'!$AF7*$K$10,$L32*'1-Ore funzionamento'!$AF7*$K$10))</f>
        <v>0</v>
      </c>
      <c r="N32" s="868"/>
      <c r="O32" s="869">
        <f>IF('2-Dati generali-Cond. utilizzo'!$C$48=2,IF('2-Dati generali-Cond. utilizzo'!$C$42=1,IF($D$87=7,0,INDEX('Rendimenti e consumi VRV'!$A$25:$P$30,$D$87,5)/'Defrost VRV'!I80),0),0)</f>
        <v>0</v>
      </c>
      <c r="P32" s="870">
        <f>IF('2-Dati generali-Cond. utilizzo'!$C$48=1,$N32*'1-Ore funzionamento'!$AF7*$N$10,IF($D$87=7,$N32*'1-Ore funzionamento'!$AF7*$N$10,$O32*'1-Ore funzionamento'!$AF7*$N$10))</f>
        <v>0</v>
      </c>
      <c r="Q32" s="868"/>
      <c r="R32" s="869">
        <f>IF('2-Dati generali-Cond. utilizzo'!$C$48=2,IF('2-Dati generali-Cond. utilizzo'!$C$42=1,IF($E$87=7,0,INDEX('Rendimenti e consumi VRV'!$A$25:$P$30,$E$87,5)/'Defrost VRV'!I80),0),0)</f>
        <v>0</v>
      </c>
      <c r="S32" s="870">
        <f>IF('2-Dati generali-Cond. utilizzo'!$C$48=1,$Q32*'1-Ore funzionamento'!$AF7*$Q$10,IF($E$87=7,$Q32*'1-Ore funzionamento'!$AF7*$Q$10,$R32*'1-Ore funzionamento'!$AF7*$Q$10))</f>
        <v>0</v>
      </c>
      <c r="T32" s="862"/>
      <c r="U32" s="871">
        <f>IF('2-Dati generali-Cond. utilizzo'!$C$48=1,SUM(K32*$K$10,N32*$N$10,Q32*$Q$10),SUM(L32*$K$10,O32*$N$10,R32*$Q$10))</f>
        <v>0</v>
      </c>
      <c r="V32" s="872">
        <f>IF(AND(OR('2-Dati generali-Cond. utilizzo'!$C$42=1,'2-Dati generali-Cond. utilizzo'!$C$42=2),'2-Dati generali-Cond. utilizzo'!$C$46=FALSE),SUM($M32,$P32,$S32),IF(AND(OR('2-Dati generali-Cond. utilizzo'!$C$42=1,'2-Dati generali-Cond. utilizzo'!$C$42=2),'2-Dati generali-Cond. utilizzo'!$C$46=TRUE),(SUM($M32,$P32,$S32))*1.3,SUM($M32,$P32,$S32)))</f>
        <v>0</v>
      </c>
      <c r="W32" s="468"/>
      <c r="X32" s="581"/>
    </row>
    <row r="33" spans="1:24" ht="25.5" hidden="1" x14ac:dyDescent="0.25">
      <c r="A33" s="873" t="s">
        <v>425</v>
      </c>
      <c r="C33" s="874" t="s">
        <v>206</v>
      </c>
      <c r="E33" s="875">
        <f>INDEX(Tabella_caratteristiche_ghp,$C$80,7)*$E$10*'1-Ore funzionamento'!$AG8*0.9</f>
        <v>0</v>
      </c>
      <c r="F33" s="875">
        <f>INDEX(Tabella_caratteristiche_ghp,$D$80,7)*$F$10*'1-Ore funzionamento'!$AG8*0.9</f>
        <v>0</v>
      </c>
      <c r="G33" s="875">
        <f>INDEX(Tabella_caratteristiche_ghp,$E$80,7)*$G$10*'1-Ore funzionamento'!$AG8*0.9</f>
        <v>0</v>
      </c>
      <c r="H33" s="861"/>
      <c r="I33" s="876">
        <f t="shared" ref="I33:I39" si="0">SUM(E33:G33)</f>
        <v>0</v>
      </c>
      <c r="K33" s="877">
        <f>IF('2-Dati generali-Cond. utilizzo'!$C$42=1,$K$32*'Riduzioni consumi VRV'!$B55,$K$32*0.9)</f>
        <v>0</v>
      </c>
      <c r="L33" s="878">
        <f>IF('2-Dati generali-Cond. utilizzo'!$C$48=2,IF('2-Dati generali-Cond. utilizzo'!$C$42=1,IF($C$87=7,0,INDEX('Rendimenti e consumi VRV'!$A$31:$P$36,$C$87,5)/'Defrost VRV'!I80),0),0)</f>
        <v>0</v>
      </c>
      <c r="M33" s="879">
        <f>IF('2-Dati generali-Cond. utilizzo'!$C$48=1,$K33*'1-Ore funzionamento'!$AF8*$K$10,IF($C$87=7,$K33*'1-Ore funzionamento'!$AF8*$K$10,$L33*'1-Ore funzionamento'!$AF8*$K$10))</f>
        <v>0</v>
      </c>
      <c r="N33" s="877">
        <f>IF('2-Dati generali-Cond. utilizzo'!$C$42=1,$N$32*'Riduzioni consumi VRV'!$B55,$N$32*0.9)</f>
        <v>0</v>
      </c>
      <c r="O33" s="878">
        <f>IF('2-Dati generali-Cond. utilizzo'!$C$48=2,IF('2-Dati generali-Cond. utilizzo'!$C$42=1,IF($D$87=7,0,INDEX('Rendimenti e consumi VRV'!$A$31:$P$36,$D$87,5)/'Defrost VRV'!I80),0),0)</f>
        <v>0</v>
      </c>
      <c r="P33" s="879">
        <f>IF('2-Dati generali-Cond. utilizzo'!$C$48=1,$N33*'1-Ore funzionamento'!$AF8*$N$10,IF($D$87=7,$N33*'1-Ore funzionamento'!$AF8*$N$10,$O33*'1-Ore funzionamento'!$AF8*$N$10))</f>
        <v>0</v>
      </c>
      <c r="Q33" s="877">
        <f>IF('2-Dati generali-Cond. utilizzo'!$C$42=1,$Q$32*'Riduzioni consumi VRV'!$B55,$Q$32*0.9)</f>
        <v>0</v>
      </c>
      <c r="R33" s="878">
        <f>IF('2-Dati generali-Cond. utilizzo'!$C$48=2,IF('2-Dati generali-Cond. utilizzo'!$C$42=1,IF($E$87=7,0,INDEX('Rendimenti e consumi VRV'!$A$31:$P$36,$E$87,5)/'Defrost VRV'!I80),0),0)</f>
        <v>0</v>
      </c>
      <c r="S33" s="879">
        <f>IF('2-Dati generali-Cond. utilizzo'!$C$48=1,$Q33*'1-Ore funzionamento'!$AF8*$Q$10,IF($E$87=7,$Q33*'1-Ore funzionamento'!$AF8*$Q$10,$R33*'1-Ore funzionamento'!$AF8*$Q$10))</f>
        <v>0</v>
      </c>
      <c r="T33" s="862"/>
      <c r="U33" s="877">
        <f>IF('2-Dati generali-Cond. utilizzo'!$C$48=1,SUM(K33*$K$10,N33*$N$10,Q33*$Q$10),SUM(L33*$K$10,O33*$N$10,R33*$Q$10))</f>
        <v>0</v>
      </c>
      <c r="V33" s="880">
        <f>IF(AND(OR('2-Dati generali-Cond. utilizzo'!$C$42=1,'2-Dati generali-Cond. utilizzo'!$C$42=2),'2-Dati generali-Cond. utilizzo'!$C$46=FALSE),SUM($M33,$P33,$S33),IF(AND(OR('2-Dati generali-Cond. utilizzo'!$C$42=1,'2-Dati generali-Cond. utilizzo'!$C$42=2),'2-Dati generali-Cond. utilizzo'!$C$46=TRUE),(SUM($M33,$P33,$S33))*1.3,SUM($M33,$P33,$S33)))</f>
        <v>0</v>
      </c>
      <c r="X33" s="460"/>
    </row>
    <row r="34" spans="1:24" ht="25.5" hidden="1" x14ac:dyDescent="0.25">
      <c r="A34" s="873" t="s">
        <v>426</v>
      </c>
      <c r="C34" s="844" t="s">
        <v>206</v>
      </c>
      <c r="E34" s="875">
        <f>INDEX(Tabella_caratteristiche_ghp,$C$80,7)*$E$10*'1-Ore funzionamento'!$AG9*0.8</f>
        <v>0</v>
      </c>
      <c r="F34" s="875">
        <f>INDEX(Tabella_caratteristiche_ghp,$D$80,7)*$F$10*'1-Ore funzionamento'!$AG9*0.8</f>
        <v>0</v>
      </c>
      <c r="G34" s="875">
        <f>INDEX(Tabella_caratteristiche_ghp,$E$80,7)*$G$10*'1-Ore funzionamento'!$AG9*0.8</f>
        <v>0</v>
      </c>
      <c r="H34" s="861"/>
      <c r="I34" s="876">
        <f t="shared" si="0"/>
        <v>0</v>
      </c>
      <c r="J34" s="862"/>
      <c r="K34" s="881">
        <f>IF('2-Dati generali-Cond. utilizzo'!$C$42=1,$K$32*'Riduzioni consumi VRV'!$B56,$K$32*0.8)</f>
        <v>0</v>
      </c>
      <c r="L34" s="882">
        <f>IF('2-Dati generali-Cond. utilizzo'!$C$48=2,IF('2-Dati generali-Cond. utilizzo'!$C$42=1,IF($C$87=7,0,INDEX('Rendimenti e consumi VRV'!$A$37:$P$42,$C$87,5)/'Defrost VRV'!I80),0),0)</f>
        <v>0</v>
      </c>
      <c r="M34" s="883">
        <f>IF('2-Dati generali-Cond. utilizzo'!$C$48=1,$K34*'1-Ore funzionamento'!$AF9*$K$10,IF($C$87=7,$K34*'1-Ore funzionamento'!$AF9*$K$10,$L34*'1-Ore funzionamento'!$AF9*$K$10))</f>
        <v>0</v>
      </c>
      <c r="N34" s="881">
        <f>IF('2-Dati generali-Cond. utilizzo'!$C$42=1,$N$32*'Riduzioni consumi VRV'!$B56,$N$32*0.8)</f>
        <v>0</v>
      </c>
      <c r="O34" s="882">
        <f>IF('2-Dati generali-Cond. utilizzo'!$C$48=2,IF('2-Dati generali-Cond. utilizzo'!$C$42=1,IF($D$87=7,0,INDEX('Rendimenti e consumi VRV'!$A$37:$P$42,$D$87,5)/'Defrost VRV'!I80),0),0)</f>
        <v>0</v>
      </c>
      <c r="P34" s="883">
        <f>IF('2-Dati generali-Cond. utilizzo'!$C$48=1,$N34*'1-Ore funzionamento'!$AF9*$N$10,IF($D$87=7,$N34*'1-Ore funzionamento'!$AF9*$N$10,$O34*'1-Ore funzionamento'!$AF9*$N$10))</f>
        <v>0</v>
      </c>
      <c r="Q34" s="881">
        <f>IF('2-Dati generali-Cond. utilizzo'!$C$42=1,$Q$32*'Riduzioni consumi VRV'!$B56,$Q$32*0.8)</f>
        <v>0</v>
      </c>
      <c r="R34" s="882">
        <f>IF('2-Dati generali-Cond. utilizzo'!$C$48=2,IF('2-Dati generali-Cond. utilizzo'!$C$42=1,IF($E$87=7,0,INDEX('Rendimenti e consumi VRV'!$A$37:$P$42,$E$87,5)/'Defrost VRV'!I80),0),0)</f>
        <v>0</v>
      </c>
      <c r="S34" s="883">
        <f>IF('2-Dati generali-Cond. utilizzo'!$C$48=1,$Q34*'1-Ore funzionamento'!$AF9*$Q$10,IF($E$87=7,$Q34*'1-Ore funzionamento'!$AF9*$Q$10,$R34*'1-Ore funzionamento'!$AF9*$Q$10))</f>
        <v>0</v>
      </c>
      <c r="T34" s="862"/>
      <c r="U34" s="881">
        <f>IF('2-Dati generali-Cond. utilizzo'!$C$48=1,SUM(K34*$K$10,N34*$N$10,Q34*$Q$10),SUM(L34*$K$10,O34*$N$10,R34*$Q$10))</f>
        <v>0</v>
      </c>
      <c r="V34" s="884">
        <f>IF(AND(OR('2-Dati generali-Cond. utilizzo'!$C$42=1,'2-Dati generali-Cond. utilizzo'!$C$42=2),'2-Dati generali-Cond. utilizzo'!$C$46=FALSE),SUM($M34,$P34,$S34),IF(AND(OR('2-Dati generali-Cond. utilizzo'!$C$42=1,'2-Dati generali-Cond. utilizzo'!$C$42=2),'2-Dati generali-Cond. utilizzo'!$C$46=TRUE),(SUM($M34,$P34,$S34))*1.3,SUM($M34,$P34,$S34)))</f>
        <v>0</v>
      </c>
      <c r="X34" s="460"/>
    </row>
    <row r="35" spans="1:24" ht="25.5" hidden="1" x14ac:dyDescent="0.25">
      <c r="A35" s="873" t="s">
        <v>427</v>
      </c>
      <c r="C35" s="844" t="s">
        <v>206</v>
      </c>
      <c r="E35" s="875">
        <f>INDEX(Tabella_caratteristiche_ghp,$C$80,7)*$E$10*'1-Ore funzionamento'!$AG10*0.7</f>
        <v>0</v>
      </c>
      <c r="F35" s="875">
        <f>INDEX(Tabella_caratteristiche_ghp,$D$80,7)*$F$10*'1-Ore funzionamento'!$AG10*0.7</f>
        <v>0</v>
      </c>
      <c r="G35" s="875">
        <f>INDEX(Tabella_caratteristiche_ghp,$E$80,7)*$G$10*'1-Ore funzionamento'!$AG10*0.7</f>
        <v>0</v>
      </c>
      <c r="H35" s="861"/>
      <c r="I35" s="876">
        <f t="shared" si="0"/>
        <v>0</v>
      </c>
      <c r="J35" s="862"/>
      <c r="K35" s="881">
        <f>IF('2-Dati generali-Cond. utilizzo'!$C$42=1,$K$32*'Riduzioni consumi VRV'!$B57,$K$32*0.7)</f>
        <v>0</v>
      </c>
      <c r="L35" s="882">
        <f>IF('2-Dati generali-Cond. utilizzo'!$C$48=2,IF('2-Dati generali-Cond. utilizzo'!$C$42=1,IF($C$87=7,0,INDEX('Rendimenti e consumi VRV'!$A$43:$P$48,$C$87,5)/'Defrost VRV'!I80),0),0)</f>
        <v>0</v>
      </c>
      <c r="M35" s="883">
        <f>IF('2-Dati generali-Cond. utilizzo'!$C$48=1,$K35*'1-Ore funzionamento'!$AF10*$K$10,IF($C$87=7,$K35*'1-Ore funzionamento'!$AF10*$K$10,$L35*'1-Ore funzionamento'!$AF10*$K$10))</f>
        <v>0</v>
      </c>
      <c r="N35" s="881">
        <f>IF('2-Dati generali-Cond. utilizzo'!$C$42=1,$N$32*'Riduzioni consumi VRV'!$B57,$N$32*0.7)</f>
        <v>0</v>
      </c>
      <c r="O35" s="882">
        <f>IF('2-Dati generali-Cond. utilizzo'!$C$48=2,IF('2-Dati generali-Cond. utilizzo'!$C$42=1,IF($D$87=7,0,INDEX('Rendimenti e consumi VRV'!$A$43:$P$48,$D$87,5)/'Defrost VRV'!I80),0),0)</f>
        <v>0</v>
      </c>
      <c r="P35" s="883">
        <f>IF('2-Dati generali-Cond. utilizzo'!$C$48=1,$N35*'1-Ore funzionamento'!$AF10*$N$10,IF($D$87=7,$N35*'1-Ore funzionamento'!$AF10*$N$10,$O35*'1-Ore funzionamento'!$AF10*$N$10))</f>
        <v>0</v>
      </c>
      <c r="Q35" s="881">
        <f>IF('2-Dati generali-Cond. utilizzo'!$C$42=1,$Q$32*'Riduzioni consumi VRV'!$B57,$Q$32*0.7)</f>
        <v>0</v>
      </c>
      <c r="R35" s="882">
        <f>IF('2-Dati generali-Cond. utilizzo'!$C$48=2,IF('2-Dati generali-Cond. utilizzo'!$C$42=1,IF($E$87=7,0,INDEX('Rendimenti e consumi VRV'!$A$43:$P$48,$E$87,5)/'Defrost VRV'!I80),0),0)</f>
        <v>0</v>
      </c>
      <c r="S35" s="883">
        <f>IF('2-Dati generali-Cond. utilizzo'!$C$48=1,$Q35*'1-Ore funzionamento'!$AF10*$Q$10,IF($E$87=7,$Q35*'1-Ore funzionamento'!$AF10*$Q$10,$R35*'1-Ore funzionamento'!$AF10*$Q$10))</f>
        <v>0</v>
      </c>
      <c r="T35" s="862"/>
      <c r="U35" s="881">
        <f>IF('2-Dati generali-Cond. utilizzo'!$C$48=1,SUM(K35*$K$10,N35*$N$10,Q35*$Q$10),SUM(L35*$K$10,O35*$N$10,R35*$Q$10))</f>
        <v>0</v>
      </c>
      <c r="V35" s="884">
        <f>IF(AND(OR('2-Dati generali-Cond. utilizzo'!$C$42=1,'2-Dati generali-Cond. utilizzo'!$C$42=2),'2-Dati generali-Cond. utilizzo'!$C$46=FALSE),SUM($M35,$P35,$S35),IF(AND(OR('2-Dati generali-Cond. utilizzo'!$C$42=1,'2-Dati generali-Cond. utilizzo'!$C$42=2),'2-Dati generali-Cond. utilizzo'!$C$46=TRUE),(SUM($M35,$P35,$S35))*1.3,SUM($M35,$P35,$S35)))</f>
        <v>0</v>
      </c>
      <c r="X35" s="460"/>
    </row>
    <row r="36" spans="1:24" ht="25.5" hidden="1" x14ac:dyDescent="0.25">
      <c r="A36" s="873" t="s">
        <v>428</v>
      </c>
      <c r="C36" s="874" t="s">
        <v>206</v>
      </c>
      <c r="E36" s="875">
        <f>INDEX(Tabella_caratteristiche_ghp,$C$80,7)*$E$10*'1-Ore funzionamento'!$AG11*0.6</f>
        <v>0</v>
      </c>
      <c r="F36" s="875">
        <f>INDEX(Tabella_caratteristiche_ghp,$D$80,7)*$F$10*'1-Ore funzionamento'!$AG11*0.6</f>
        <v>0</v>
      </c>
      <c r="G36" s="875">
        <f>INDEX(Tabella_caratteristiche_ghp,$E$80,7)*$G$10*'1-Ore funzionamento'!$AG11*0.6</f>
        <v>0</v>
      </c>
      <c r="H36" s="861"/>
      <c r="I36" s="876">
        <f t="shared" si="0"/>
        <v>0</v>
      </c>
      <c r="J36" s="862"/>
      <c r="K36" s="881">
        <f>IF('2-Dati generali-Cond. utilizzo'!$C$42=1,$K$32*'Riduzioni consumi VRV'!$B58,$K$32*0.6)</f>
        <v>0</v>
      </c>
      <c r="L36" s="882">
        <f>IF('2-Dati generali-Cond. utilizzo'!$C$48=2,IF('2-Dati generali-Cond. utilizzo'!$C$42=1,IF($C$87=7,0,INDEX('Rendimenti e consumi VRV'!$A$49:$P$54,$C$87,5)/'Defrost VRV'!I80),0),0)</f>
        <v>0</v>
      </c>
      <c r="M36" s="883">
        <f>IF('2-Dati generali-Cond. utilizzo'!$C$48=1,$K36*'1-Ore funzionamento'!$AF11*$K$10,IF($C$87=7,$K36*'1-Ore funzionamento'!$AF11*$K$10,$L36*'1-Ore funzionamento'!$AF11*$K$10))</f>
        <v>0</v>
      </c>
      <c r="N36" s="881">
        <f>IF('2-Dati generali-Cond. utilizzo'!$C$42=1,$N$32*'Riduzioni consumi VRV'!$B58,$N$32*0.6)</f>
        <v>0</v>
      </c>
      <c r="O36" s="882">
        <f>IF('2-Dati generali-Cond. utilizzo'!$C$48=2,IF('2-Dati generali-Cond. utilizzo'!$C$42=1,IF($D$87=7,0,INDEX('Rendimenti e consumi VRV'!$A$49:$P$54,$D$87,5)/'Defrost VRV'!I80),0),0)</f>
        <v>0</v>
      </c>
      <c r="P36" s="883">
        <f>IF('2-Dati generali-Cond. utilizzo'!$C$48=1,$N36*'1-Ore funzionamento'!$AF11*$N$10,IF($D$87=7,$N36*'1-Ore funzionamento'!$AF11*$N$10,$O36*'1-Ore funzionamento'!$AF11*$N$10))</f>
        <v>0</v>
      </c>
      <c r="Q36" s="881">
        <f>IF('2-Dati generali-Cond. utilizzo'!$C$42=1,$Q$32*'Riduzioni consumi VRV'!$B58,$Q$32*0.6)</f>
        <v>0</v>
      </c>
      <c r="R36" s="882">
        <f>IF('2-Dati generali-Cond. utilizzo'!$C$48=2,IF('2-Dati generali-Cond. utilizzo'!$C$42=1,IF($E$87=7,0,INDEX('Rendimenti e consumi VRV'!$A$49:$P$54,$E$87,5)/'Defrost VRV'!I80),0),0)</f>
        <v>0</v>
      </c>
      <c r="S36" s="883">
        <f>IF('2-Dati generali-Cond. utilizzo'!$C$48=1,$Q36*'1-Ore funzionamento'!$AF11*$Q$10,IF($E$87=7,$Q36*'1-Ore funzionamento'!$AF11*$Q$10,$R36*'1-Ore funzionamento'!$AF11*$Q$10))</f>
        <v>0</v>
      </c>
      <c r="T36" s="862"/>
      <c r="U36" s="881">
        <f>IF('2-Dati generali-Cond. utilizzo'!$C$48=1,SUM(K36*$K$10,N36*$N$10,Q36*$Q$10),SUM(L36*$K$10,O36*$N$10,R36*$Q$10))</f>
        <v>0</v>
      </c>
      <c r="V36" s="884">
        <f>IF(AND(OR('2-Dati generali-Cond. utilizzo'!$C$42=1,'2-Dati generali-Cond. utilizzo'!$C$42=2),'2-Dati generali-Cond. utilizzo'!$C$46=FALSE),SUM($M36,$P36,$S36),IF(AND(OR('2-Dati generali-Cond. utilizzo'!$C$42=1,'2-Dati generali-Cond. utilizzo'!$C$42=2),'2-Dati generali-Cond. utilizzo'!$C$46=TRUE),(SUM($M36,$P36,$S36))*1.3,SUM($M36,$P36,$S36)))</f>
        <v>0</v>
      </c>
      <c r="X36" s="460"/>
    </row>
    <row r="37" spans="1:24" ht="25.5" hidden="1" x14ac:dyDescent="0.25">
      <c r="A37" s="873" t="s">
        <v>429</v>
      </c>
      <c r="C37" s="850" t="s">
        <v>206</v>
      </c>
      <c r="E37" s="875">
        <f>INDEX(Tabella_caratteristiche_ghp,$C$80,7)*$E$10*'1-Ore funzionamento'!$AG12*0.5</f>
        <v>0</v>
      </c>
      <c r="F37" s="875">
        <f>INDEX(Tabella_caratteristiche_ghp,$D$80,7)*$F$10*'1-Ore funzionamento'!$AG12*0.5</f>
        <v>0</v>
      </c>
      <c r="G37" s="875">
        <f>INDEX(Tabella_caratteristiche_ghp,$E$80,7)*$G$10*'1-Ore funzionamento'!$AG12*0.5</f>
        <v>0</v>
      </c>
      <c r="H37" s="862"/>
      <c r="I37" s="876">
        <f t="shared" si="0"/>
        <v>0</v>
      </c>
      <c r="J37" s="862"/>
      <c r="K37" s="881">
        <f>IF('2-Dati generali-Cond. utilizzo'!$C$42=1,$K$32*'Riduzioni consumi VRV'!$B59,$K$32*0.5)</f>
        <v>0</v>
      </c>
      <c r="L37" s="882">
        <f>IF('2-Dati generali-Cond. utilizzo'!$C$48=2,IF('2-Dati generali-Cond. utilizzo'!$C$42=1,IF($C$87=7,0,INDEX('Rendimenti e consumi VRV'!$A$55:$P$60,$C$87,5)/'Defrost VRV'!I80),0),0)</f>
        <v>0</v>
      </c>
      <c r="M37" s="883">
        <f>IF('2-Dati generali-Cond. utilizzo'!$C$48=1,$K37*'1-Ore funzionamento'!$AF12*$K$10,IF($C$87=7,$K37*'1-Ore funzionamento'!$AF12*$K$10,$L37*'1-Ore funzionamento'!$AF12*$K$10))</f>
        <v>0</v>
      </c>
      <c r="N37" s="881">
        <f>IF('2-Dati generali-Cond. utilizzo'!$C$42=1,$N$32*'Riduzioni consumi VRV'!$B59,$N$32*0.5)</f>
        <v>0</v>
      </c>
      <c r="O37" s="882">
        <f>IF('2-Dati generali-Cond. utilizzo'!$C$48=2,IF('2-Dati generali-Cond. utilizzo'!$C$42=1,IF($D$87=7,0,INDEX('Rendimenti e consumi VRV'!$A$55:$P$60,$D$87,5)/'Defrost VRV'!I80),0),0)</f>
        <v>0</v>
      </c>
      <c r="P37" s="883">
        <f>IF('2-Dati generali-Cond. utilizzo'!$C$48=1,$N37*'1-Ore funzionamento'!$AF12*$N$10,IF($D$87=7,$N37*'1-Ore funzionamento'!$AF12*$N$10,$O37*'1-Ore funzionamento'!$AF12*$N$10))</f>
        <v>0</v>
      </c>
      <c r="Q37" s="881">
        <f>IF('2-Dati generali-Cond. utilizzo'!$C$42=1,$Q$32*'Riduzioni consumi VRV'!$B59,$Q$32*0.5)</f>
        <v>0</v>
      </c>
      <c r="R37" s="882">
        <f>IF('2-Dati generali-Cond. utilizzo'!$C$48=2,IF('2-Dati generali-Cond. utilizzo'!$C$42=1,IF($E$87=7,0,INDEX('Rendimenti e consumi VRV'!$A$55:$P$60,$E$87,5)/'Defrost VRV'!I80),0),0)</f>
        <v>0</v>
      </c>
      <c r="S37" s="883">
        <f>IF('2-Dati generali-Cond. utilizzo'!$C$48=1,$Q37*'1-Ore funzionamento'!$AF12*$Q$10,IF($E$87=7,$Q37*'1-Ore funzionamento'!$AF12*$Q$10,$R37*'1-Ore funzionamento'!$AF12*$Q$10))</f>
        <v>0</v>
      </c>
      <c r="T37" s="862"/>
      <c r="U37" s="881">
        <f>IF('2-Dati generali-Cond. utilizzo'!$C$48=1,SUM(K37*$K$10,N37*$N$10,Q37*$Q$10),SUM(L37*$K$10,O37*$N$10,R37*$Q$10))</f>
        <v>0</v>
      </c>
      <c r="V37" s="884">
        <f>IF(AND(OR('2-Dati generali-Cond. utilizzo'!$C$42=1,'2-Dati generali-Cond. utilizzo'!$C$42=2),'2-Dati generali-Cond. utilizzo'!$C$46=FALSE),SUM($M37,$P37,$S37),IF(AND(OR('2-Dati generali-Cond. utilizzo'!$C$42=1,'2-Dati generali-Cond. utilizzo'!$C$42=2),'2-Dati generali-Cond. utilizzo'!$C$46=TRUE),(SUM($M37,$P37,$S37))*1.3,SUM($M37,$P37,$S37)))</f>
        <v>0</v>
      </c>
      <c r="X37" s="460"/>
    </row>
    <row r="38" spans="1:24" ht="25.5" hidden="1" x14ac:dyDescent="0.25">
      <c r="A38" s="873" t="s">
        <v>430</v>
      </c>
      <c r="C38" s="850" t="s">
        <v>206</v>
      </c>
      <c r="E38" s="875">
        <f>INDEX(Tabella_caratteristiche_ghp,$C$80,7)*$E$10*'1-Ore funzionamento'!$AG13*0.4</f>
        <v>0</v>
      </c>
      <c r="F38" s="875">
        <f>INDEX(Tabella_caratteristiche_ghp,$D$80,7)*$F$10*'1-Ore funzionamento'!$AG13*0.4</f>
        <v>0</v>
      </c>
      <c r="G38" s="875">
        <f>INDEX(Tabella_caratteristiche_ghp,$E$80,7)*$G$10*'1-Ore funzionamento'!$AG13*0.4</f>
        <v>0</v>
      </c>
      <c r="H38" s="862"/>
      <c r="I38" s="876">
        <f t="shared" si="0"/>
        <v>0</v>
      </c>
      <c r="J38" s="862"/>
      <c r="K38" s="881">
        <f>IF('2-Dati generali-Cond. utilizzo'!$C$42=1,$K$32*'Riduzioni consumi VRV'!$B60,$K$32*0.4)</f>
        <v>0</v>
      </c>
      <c r="L38" s="882">
        <f>IF('2-Dati generali-Cond. utilizzo'!$C$48=2,IF('2-Dati generali-Cond. utilizzo'!$C$42=1,IF($C$87=7,0,INDEX('Rendimenti e consumi VRV'!$A$61:$P$66,$C$87,5)/'Defrost VRV'!I80),0),0)</f>
        <v>0</v>
      </c>
      <c r="M38" s="883">
        <f>IF('2-Dati generali-Cond. utilizzo'!$C$48=1,$K38*'1-Ore funzionamento'!$AF13*$K$10,IF($C$87=7,$K38*'1-Ore funzionamento'!$AF13*$K$10,$L38*'1-Ore funzionamento'!$AF13*$K$10))</f>
        <v>0</v>
      </c>
      <c r="N38" s="881">
        <f>IF('2-Dati generali-Cond. utilizzo'!$C$42=1,$N$32*'Riduzioni consumi VRV'!$B60,$N$32*0.4)</f>
        <v>0</v>
      </c>
      <c r="O38" s="882">
        <f>IF('2-Dati generali-Cond. utilizzo'!$C$48=2,IF('2-Dati generali-Cond. utilizzo'!$C$42=1,IF($D$87=7,0,INDEX('Rendimenti e consumi VRV'!$A$61:$P$66,$D$87,5)/'Defrost VRV'!I80),0),0)</f>
        <v>0</v>
      </c>
      <c r="P38" s="883">
        <f>IF('2-Dati generali-Cond. utilizzo'!$C$48=1,$N38*'1-Ore funzionamento'!$AF13*$N$10,IF($D$87=7,$N38*'1-Ore funzionamento'!$AF13*$N$10,$O38*'1-Ore funzionamento'!$AF13*$N$10))</f>
        <v>0</v>
      </c>
      <c r="Q38" s="881">
        <f>IF('2-Dati generali-Cond. utilizzo'!$C$42=1,$Q$32*'Riduzioni consumi VRV'!$B60,$Q$32*0.4)</f>
        <v>0</v>
      </c>
      <c r="R38" s="882">
        <f>IF('2-Dati generali-Cond. utilizzo'!$C$48=2,IF('2-Dati generali-Cond. utilizzo'!$C$42=1,IF($E$87=7,0,INDEX('Rendimenti e consumi VRV'!$A$61:$P$66,$E$87,5)/'Defrost VRV'!I80),0),0)</f>
        <v>0</v>
      </c>
      <c r="S38" s="883">
        <f>IF('2-Dati generali-Cond. utilizzo'!$C$48=1,$Q38*'1-Ore funzionamento'!$AF13*$Q$10,IF($E$87=7,$Q38*'1-Ore funzionamento'!$AF13*$Q$10,$R38*'1-Ore funzionamento'!$AF13*$Q$10))</f>
        <v>0</v>
      </c>
      <c r="T38" s="862"/>
      <c r="U38" s="881">
        <f>IF('2-Dati generali-Cond. utilizzo'!$C$48=1,SUM(K38*$K$10,N38*$N$10,Q38*$Q$10),SUM(L38*$K$10,O38*$N$10,R38*$Q$10))</f>
        <v>0</v>
      </c>
      <c r="V38" s="884">
        <f>IF(AND(OR('2-Dati generali-Cond. utilizzo'!$C$42=1,'2-Dati generali-Cond. utilizzo'!$C$42=2),'2-Dati generali-Cond. utilizzo'!$C$46=FALSE),SUM($M38,$P38,$S38),IF(AND(OR('2-Dati generali-Cond. utilizzo'!$C$42=1,'2-Dati generali-Cond. utilizzo'!$C$42=2),'2-Dati generali-Cond. utilizzo'!$C$46=TRUE),(SUM($M38,$P38,$S38))*1.3,SUM($M38,$P38,$S38)))</f>
        <v>0</v>
      </c>
      <c r="X38" s="460"/>
    </row>
    <row r="39" spans="1:24" ht="26.25" hidden="1" thickBot="1" x14ac:dyDescent="0.3">
      <c r="A39" s="885" t="s">
        <v>431</v>
      </c>
      <c r="C39" s="854" t="s">
        <v>206</v>
      </c>
      <c r="E39" s="875">
        <f>INDEX(Tabella_caratteristiche_ghp,$C$80,7)*$E$10*'1-Ore funzionamento'!$AG14*0.3</f>
        <v>0</v>
      </c>
      <c r="F39" s="875">
        <f>INDEX(Tabella_caratteristiche_ghp,$D$80,7)*$F$10*'1-Ore funzionamento'!$AG14*0.3</f>
        <v>0</v>
      </c>
      <c r="G39" s="875">
        <f>INDEX(Tabella_caratteristiche_ghp,$E$80,7)*$G$10*'1-Ore funzionamento'!$AG14*0.3</f>
        <v>0</v>
      </c>
      <c r="H39" s="862"/>
      <c r="I39" s="876">
        <f t="shared" si="0"/>
        <v>0</v>
      </c>
      <c r="J39" s="862"/>
      <c r="K39" s="886">
        <f>IF('2-Dati generali-Cond. utilizzo'!$C$42=1,$K$32*'Riduzioni consumi VRV'!$B61,$K$32*0.3)</f>
        <v>0</v>
      </c>
      <c r="L39" s="887">
        <f>IF('2-Dati generali-Cond. utilizzo'!$C$48=2,IF('2-Dati generali-Cond. utilizzo'!$C$42=1,IF($C$87=7,0,INDEX('Rendimenti e consumi VRV'!$A$67:$P$72,$C$87,5)/'Defrost VRV'!I80),0),0)</f>
        <v>0</v>
      </c>
      <c r="M39" s="888">
        <f>IF('2-Dati generali-Cond. utilizzo'!$C$48=1,$K39*'1-Ore funzionamento'!$AF14*$K$10,IF($C$87=7,$K39*'1-Ore funzionamento'!$AF14*$K$10,$L39*'1-Ore funzionamento'!$AF14*$K$10))</f>
        <v>0</v>
      </c>
      <c r="N39" s="886">
        <f>IF('2-Dati generali-Cond. utilizzo'!$C$42=1,$N$32*'Riduzioni consumi VRV'!$B61,$N$32*0.3)</f>
        <v>0</v>
      </c>
      <c r="O39" s="887">
        <f>IF('2-Dati generali-Cond. utilizzo'!$C$48=2,IF('2-Dati generali-Cond. utilizzo'!$C$42=1,IF($D$87=7,0,INDEX('Rendimenti e consumi VRV'!$A$67:$P$72,$D$87,5)/'Defrost VRV'!I80),0),0)</f>
        <v>0</v>
      </c>
      <c r="P39" s="888">
        <f>IF('2-Dati generali-Cond. utilizzo'!$C$48=1,$N39*'1-Ore funzionamento'!$AF14*$N$10,IF($D$87=7,$N39*'1-Ore funzionamento'!$AF14*$N$10,$O39*'1-Ore funzionamento'!$AF14*$N$10))</f>
        <v>0</v>
      </c>
      <c r="Q39" s="886">
        <f>IF('2-Dati generali-Cond. utilizzo'!$C$42=1,$Q$32*'Riduzioni consumi VRV'!$B61,$Q$32*0.3)</f>
        <v>0</v>
      </c>
      <c r="R39" s="887">
        <f>IF('2-Dati generali-Cond. utilizzo'!$C$48=2,IF('2-Dati generali-Cond. utilizzo'!$C$42=1,IF($E$87=7,0,INDEX('Rendimenti e consumi VRV'!$A$67:$P$72,$E$87,5)/'Defrost VRV'!I80),0),0)</f>
        <v>0</v>
      </c>
      <c r="S39" s="888">
        <f>IF('2-Dati generali-Cond. utilizzo'!$C$48=1,$Q39*'1-Ore funzionamento'!$AF14*$Q$10,IF($E$87=7,$Q39*'1-Ore funzionamento'!$AF14*$Q$10,$R39*'1-Ore funzionamento'!$AF14*$Q$10))</f>
        <v>0</v>
      </c>
      <c r="T39" s="862"/>
      <c r="U39" s="886">
        <f>IF('2-Dati generali-Cond. utilizzo'!$C$48=1,SUM(K39*$K$10,N39*$N$10,Q39*$Q$10),SUM(L39*$K$10,O39*$N$10,R39*$Q$10))</f>
        <v>0</v>
      </c>
      <c r="V39" s="889">
        <f>IF(AND(OR('2-Dati generali-Cond. utilizzo'!$C$42=1,'2-Dati generali-Cond. utilizzo'!$C$42=2),'2-Dati generali-Cond. utilizzo'!$C$46=FALSE),SUM($M39,$P39,$S39),IF(AND(OR('2-Dati generali-Cond. utilizzo'!$C$42=1,'2-Dati generali-Cond. utilizzo'!$C$42=2),'2-Dati generali-Cond. utilizzo'!$C$46=TRUE),(SUM($M39,$P39,$S39))*1.3,SUM($M39,$P39,$S39)))</f>
        <v>0</v>
      </c>
      <c r="X39" s="460"/>
    </row>
    <row r="40" spans="1:24" ht="32.1" customHeight="1" thickBot="1" x14ac:dyDescent="0.3">
      <c r="A40" s="890" t="s">
        <v>560</v>
      </c>
      <c r="B40" s="807"/>
      <c r="C40" s="806" t="s">
        <v>206</v>
      </c>
      <c r="D40" s="891"/>
      <c r="E40" s="892">
        <f>SUM(E32:E39)</f>
        <v>0</v>
      </c>
      <c r="F40" s="892">
        <f>SUM(F32:F39)</f>
        <v>0</v>
      </c>
      <c r="G40" s="892">
        <f>SUM(G32:G39)</f>
        <v>0</v>
      </c>
      <c r="H40" s="893"/>
      <c r="I40" s="894">
        <f>SUM(I32:I39)</f>
        <v>0</v>
      </c>
      <c r="J40" s="862"/>
      <c r="K40" s="893"/>
      <c r="L40" s="893"/>
      <c r="M40" s="892">
        <f>SUM(M32:M39)</f>
        <v>0</v>
      </c>
      <c r="N40" s="895"/>
      <c r="O40" s="896"/>
      <c r="P40" s="892">
        <f>SUM(P32:P39)</f>
        <v>0</v>
      </c>
      <c r="Q40" s="895"/>
      <c r="R40" s="896"/>
      <c r="S40" s="892">
        <f>SUM(S32:S39)</f>
        <v>0</v>
      </c>
      <c r="T40" s="895"/>
      <c r="U40" s="897"/>
      <c r="V40" s="898">
        <f>SUM(V32:V39)</f>
        <v>0</v>
      </c>
      <c r="W40" s="456"/>
      <c r="X40" s="459"/>
    </row>
    <row r="41" spans="1:24" ht="6" customHeight="1" thickBot="1" x14ac:dyDescent="0.3">
      <c r="A41" s="802"/>
      <c r="E41" s="857"/>
      <c r="F41" s="857"/>
      <c r="G41" s="857"/>
      <c r="H41" s="858"/>
      <c r="I41" s="857"/>
      <c r="J41" s="857"/>
      <c r="K41" s="899"/>
      <c r="L41" s="899"/>
      <c r="M41" s="899"/>
      <c r="N41" s="899"/>
      <c r="O41" s="899"/>
      <c r="P41" s="899"/>
      <c r="Q41" s="899"/>
      <c r="R41" s="899"/>
      <c r="S41" s="899"/>
      <c r="T41" s="900"/>
      <c r="U41" s="899"/>
      <c r="V41" s="901"/>
      <c r="X41" s="460"/>
    </row>
    <row r="42" spans="1:24" ht="32.1" customHeight="1" thickBot="1" x14ac:dyDescent="0.3">
      <c r="A42" s="808" t="s">
        <v>561</v>
      </c>
      <c r="C42" s="803"/>
      <c r="E42" s="902"/>
      <c r="F42" s="903"/>
      <c r="G42" s="903"/>
      <c r="H42" s="903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X42" s="460"/>
    </row>
    <row r="43" spans="1:24" ht="26.25" thickBot="1" x14ac:dyDescent="0.3">
      <c r="A43" s="864" t="s">
        <v>353</v>
      </c>
      <c r="C43" s="865" t="s">
        <v>206</v>
      </c>
      <c r="E43" s="904">
        <f>INDEX(Tabella_caratteristiche_ghp,$C$80,8)*$E$10*'1-Ore funzionamento'!$AG7*1</f>
        <v>0</v>
      </c>
      <c r="F43" s="866">
        <f>INDEX(Tabella_caratteristiche_ghp,$D$80,8)*$F$10*'1-Ore funzionamento'!$AG7*1</f>
        <v>0</v>
      </c>
      <c r="G43" s="866">
        <f>INDEX(Tabella_caratteristiche_ghp,$E$80,8)*$G$10*'1-Ore funzionamento'!$AG7*1</f>
        <v>0</v>
      </c>
      <c r="H43" s="861"/>
      <c r="I43" s="867">
        <f>SUM(E43:G43)</f>
        <v>0</v>
      </c>
      <c r="J43" s="862"/>
      <c r="K43" s="868"/>
      <c r="L43" s="869">
        <f>IF('2-Dati generali-Cond. utilizzo'!$C$48=2,IF('2-Dati generali-Cond. utilizzo'!$C$42=1,IF($C$87=7,0,INDEX('Rendimenti e consumi VRV'!$A$25:$P$30,$C$87,10)/'Defrost VRV'!I82),0),0)</f>
        <v>0</v>
      </c>
      <c r="M43" s="870">
        <f>IF('2-Dati generali-Cond. utilizzo'!$C$48=1,$K43*'1-Ore funzionamento'!$AF7*$K$10,IF($C$87=7,$K43*'1-Ore funzionamento'!$AF7*$K$10,$L43*'1-Ore funzionamento'!$AF7*$K$10))</f>
        <v>0</v>
      </c>
      <c r="N43" s="868"/>
      <c r="O43" s="869">
        <f>IF('2-Dati generali-Cond. utilizzo'!$C$48=2,IF('2-Dati generali-Cond. utilizzo'!$C$42=1,IF($D$87=7,0,INDEX('Rendimenti e consumi VRV'!$A$25:$P$30,$D$87,10)/'Defrost VRV'!I82),0),0)</f>
        <v>0</v>
      </c>
      <c r="P43" s="870">
        <f>IF('2-Dati generali-Cond. utilizzo'!$C$48=1,$N43*'1-Ore funzionamento'!$AF7*$N$10,IF($D$87=7,$N43*'1-Ore funzionamento'!$AF7*$N$10,$O43*'1-Ore funzionamento'!$AF7*$N$10))</f>
        <v>0</v>
      </c>
      <c r="Q43" s="868"/>
      <c r="R43" s="869">
        <f>IF('2-Dati generali-Cond. utilizzo'!$C$48=2,IF('2-Dati generali-Cond. utilizzo'!$C$42=1,IF($E$87=7,0,INDEX('Rendimenti e consumi VRV'!$A$25:$P$30,$E$87,10)/'Defrost VRV'!I82),0),0)</f>
        <v>0</v>
      </c>
      <c r="S43" s="870">
        <f>IF('2-Dati generali-Cond. utilizzo'!$C$48=1,$Q43*'1-Ore funzionamento'!$AF7*$Q$10,IF($E$87=7,$Q43*'1-Ore funzionamento'!$AF7*$Q$10,$R43*'1-Ore funzionamento'!$AF7*$Q$10))</f>
        <v>0</v>
      </c>
      <c r="T43" s="862"/>
      <c r="U43" s="871">
        <f>IF('2-Dati generali-Cond. utilizzo'!$C$48=1,SUM(K43*$K$10,N43*$N$10,Q43*$Q$10),SUM(L43*$K$10,O43*$N$10,R43*$Q$10))</f>
        <v>0</v>
      </c>
      <c r="V43" s="872">
        <f t="shared" ref="V43:V50" si="1">SUM(M43,P43,S43)</f>
        <v>0</v>
      </c>
      <c r="W43" s="468"/>
      <c r="X43" s="460"/>
    </row>
    <row r="44" spans="1:24" ht="25.5" hidden="1" x14ac:dyDescent="0.25">
      <c r="A44" s="873" t="s">
        <v>425</v>
      </c>
      <c r="C44" s="844" t="s">
        <v>206</v>
      </c>
      <c r="E44" s="905">
        <f>INDEX(Tabella_caratteristiche_ghp,$C$80,8)*$E$10*'1-Ore funzionamento'!$AG8*0.9</f>
        <v>0</v>
      </c>
      <c r="F44" s="875">
        <f>INDEX(Tabella_caratteristiche_ghp,$D$80,8)*$F$10*'1-Ore funzionamento'!$AG8*0.9</f>
        <v>0</v>
      </c>
      <c r="G44" s="875">
        <f>INDEX(Tabella_caratteristiche_ghp,$E$80,8)*$G$10*'1-Ore funzionamento'!$AG8*0.9</f>
        <v>0</v>
      </c>
      <c r="H44" s="861"/>
      <c r="I44" s="876">
        <f t="shared" ref="I44:I50" si="2">SUM(E44:G44)</f>
        <v>0</v>
      </c>
      <c r="J44" s="862"/>
      <c r="K44" s="877">
        <f>IF('2-Dati generali-Cond. utilizzo'!$C$42=1,$K$43*'Riduzioni consumi VRV'!$B55,$K$43*0.9)</f>
        <v>0</v>
      </c>
      <c r="L44" s="878">
        <f>IF('2-Dati generali-Cond. utilizzo'!$C$48=2,IF('2-Dati generali-Cond. utilizzo'!$C$42=1,IF($C$87=7,0,INDEX('Rendimenti e consumi VRV'!$A$31:$P$36,$C$87,10)/'Defrost VRV'!I82),0),0)</f>
        <v>0</v>
      </c>
      <c r="M44" s="879">
        <f>IF('2-Dati generali-Cond. utilizzo'!$C$48=1,$K44*'1-Ore funzionamento'!$AF8*$K$10,IF($C$87=7,$K44*'1-Ore funzionamento'!$AF8*$K$10,$L44*'1-Ore funzionamento'!$AF8*$K$10))</f>
        <v>0</v>
      </c>
      <c r="N44" s="877">
        <f>IF('2-Dati generali-Cond. utilizzo'!$C$42=1,$N$43*'Riduzioni consumi VRV'!$B55,$N$43*0.9)</f>
        <v>0</v>
      </c>
      <c r="O44" s="878">
        <f>IF('2-Dati generali-Cond. utilizzo'!$C$48=2,IF('2-Dati generali-Cond. utilizzo'!$C$42=1,IF($D$87=7,0,INDEX('Rendimenti e consumi VRV'!$A$31:$P$36,$D$87,10)/'Defrost VRV'!I82),0),0)</f>
        <v>0</v>
      </c>
      <c r="P44" s="879">
        <f>IF('2-Dati generali-Cond. utilizzo'!$C$48=1,$N44*'1-Ore funzionamento'!$AF8*$N$10,IF($D$87=7,$N44*'1-Ore funzionamento'!$AF8*$N$10,$O44*'1-Ore funzionamento'!$AF8*$N$10))</f>
        <v>0</v>
      </c>
      <c r="Q44" s="877">
        <f>IF('2-Dati generali-Cond. utilizzo'!$C$42=1,$Q$43*'Riduzioni consumi VRV'!$B55,$Q$43*0.9)</f>
        <v>0</v>
      </c>
      <c r="R44" s="878">
        <f>IF('2-Dati generali-Cond. utilizzo'!$C$48=2,IF('2-Dati generali-Cond. utilizzo'!$C$42=1,IF($E$87=7,0,INDEX('Rendimenti e consumi VRV'!$A$31:$P$36,$E$87,10)/'Defrost VRV'!I82),0),0)</f>
        <v>0</v>
      </c>
      <c r="S44" s="879">
        <f>IF('2-Dati generali-Cond. utilizzo'!$C$48=1,$Q44*'1-Ore funzionamento'!$AF8*$Q$10,IF($E$87=7,$Q44*'1-Ore funzionamento'!$AF8*$Q$10,$R44*'1-Ore funzionamento'!$AF8*$Q$10))</f>
        <v>0</v>
      </c>
      <c r="T44" s="862"/>
      <c r="U44" s="877">
        <f>IF('2-Dati generali-Cond. utilizzo'!$C$48=1,SUM(K44*$K$10,N44*$N$10,Q44*$Q$10),SUM(L44*$K$10,O44*$N$10,R44*$Q$10))</f>
        <v>0</v>
      </c>
      <c r="V44" s="880">
        <f t="shared" si="1"/>
        <v>0</v>
      </c>
      <c r="X44" s="460"/>
    </row>
    <row r="45" spans="1:24" ht="25.5" hidden="1" x14ac:dyDescent="0.25">
      <c r="A45" s="873" t="s">
        <v>426</v>
      </c>
      <c r="C45" s="844" t="s">
        <v>206</v>
      </c>
      <c r="E45" s="905">
        <f>INDEX(Tabella_caratteristiche_ghp,$C$80,8)*$E$10*'1-Ore funzionamento'!$AG9*0.8</f>
        <v>0</v>
      </c>
      <c r="F45" s="875">
        <f>INDEX(Tabella_caratteristiche_ghp,$D$80,8)*$F$10*'1-Ore funzionamento'!$AG9*0.8</f>
        <v>0</v>
      </c>
      <c r="G45" s="875">
        <f>INDEX(Tabella_caratteristiche_ghp,$E$80,8)*$G$10*'1-Ore funzionamento'!$AG9*0.8</f>
        <v>0</v>
      </c>
      <c r="H45" s="861"/>
      <c r="I45" s="876">
        <f t="shared" si="2"/>
        <v>0</v>
      </c>
      <c r="J45" s="862"/>
      <c r="K45" s="881">
        <f>IF('2-Dati generali-Cond. utilizzo'!$C$42=1,$K$43*'Riduzioni consumi VRV'!$B56,$K$43*0.8)</f>
        <v>0</v>
      </c>
      <c r="L45" s="882">
        <f>IF('2-Dati generali-Cond. utilizzo'!$C$48=2,IF('2-Dati generali-Cond. utilizzo'!$C$42=1,IF($C$87=7,0,INDEX('Rendimenti e consumi VRV'!$A$37:$P$42,$C$87,10)/'Defrost VRV'!I82),0),0)</f>
        <v>0</v>
      </c>
      <c r="M45" s="883">
        <f>IF('2-Dati generali-Cond. utilizzo'!$C$48=1,$K45*'1-Ore funzionamento'!$AF9*$K$10,IF($C$87=7,$K45*'1-Ore funzionamento'!$AF9*$K$10,$L45*'1-Ore funzionamento'!$AF9*$K$10))</f>
        <v>0</v>
      </c>
      <c r="N45" s="881">
        <f>IF('2-Dati generali-Cond. utilizzo'!$C$42=1,$N$43*'Riduzioni consumi VRV'!$B56,$N$43*0.8)</f>
        <v>0</v>
      </c>
      <c r="O45" s="882">
        <f>IF('2-Dati generali-Cond. utilizzo'!$C$48=2,IF('2-Dati generali-Cond. utilizzo'!$C$42=1,IF($D$87=7,0,INDEX('Rendimenti e consumi VRV'!$A$37:$P$42,$D$87,10)/'Defrost VRV'!I82),0),0)</f>
        <v>0</v>
      </c>
      <c r="P45" s="883">
        <f>IF('2-Dati generali-Cond. utilizzo'!$C$48=1,$N45*'1-Ore funzionamento'!$AF9*$N$10,IF($D$87=7,$N45*'1-Ore funzionamento'!$AF9*$N$10,$O45*'1-Ore funzionamento'!$AF9*$N$10))</f>
        <v>0</v>
      </c>
      <c r="Q45" s="881">
        <f>IF('2-Dati generali-Cond. utilizzo'!$C$42=1,$Q$43*'Riduzioni consumi VRV'!$B56,$Q$43*0.8)</f>
        <v>0</v>
      </c>
      <c r="R45" s="882">
        <f>IF('2-Dati generali-Cond. utilizzo'!$C$48=2,IF('2-Dati generali-Cond. utilizzo'!$C$42=1,IF($E$87=7,0,INDEX('Rendimenti e consumi VRV'!$A$37:$P$42,$E$87,10)/'Defrost VRV'!I82),0),0)</f>
        <v>0</v>
      </c>
      <c r="S45" s="883">
        <f>IF('2-Dati generali-Cond. utilizzo'!$C$48=1,$Q45*'1-Ore funzionamento'!$AF9*$Q$10,IF($E$87=7,$Q45*'1-Ore funzionamento'!$AF9*$Q$10,$R45*'1-Ore funzionamento'!$AF9*$Q$10))</f>
        <v>0</v>
      </c>
      <c r="T45" s="862"/>
      <c r="U45" s="881">
        <f>IF('2-Dati generali-Cond. utilizzo'!$C$48=1,SUM(K45*$K$10,N45*$N$10,Q45*$Q$10),SUM(L45*$K$10,O45*$N$10,R45*$Q$10))</f>
        <v>0</v>
      </c>
      <c r="V45" s="884">
        <f t="shared" si="1"/>
        <v>0</v>
      </c>
      <c r="X45" s="460"/>
    </row>
    <row r="46" spans="1:24" ht="25.5" hidden="1" x14ac:dyDescent="0.25">
      <c r="A46" s="873" t="s">
        <v>427</v>
      </c>
      <c r="C46" s="844" t="s">
        <v>206</v>
      </c>
      <c r="E46" s="905">
        <f>INDEX(Tabella_caratteristiche_ghp,$C$80,8)*$E$10*'1-Ore funzionamento'!$AG10*0.7</f>
        <v>0</v>
      </c>
      <c r="F46" s="875">
        <f>INDEX(Tabella_caratteristiche_ghp,$D$80,8)*$F$10*'1-Ore funzionamento'!$AG10*0.7</f>
        <v>0</v>
      </c>
      <c r="G46" s="875">
        <f>INDEX(Tabella_caratteristiche_ghp,$E$80,8)*$G$10*'1-Ore funzionamento'!$AG10*0.7</f>
        <v>0</v>
      </c>
      <c r="H46" s="861"/>
      <c r="I46" s="876">
        <f t="shared" si="2"/>
        <v>0</v>
      </c>
      <c r="J46" s="862"/>
      <c r="K46" s="881">
        <f>IF('2-Dati generali-Cond. utilizzo'!$C$42=1,$K$43*'Riduzioni consumi VRV'!$B57,$K$43*0.7)</f>
        <v>0</v>
      </c>
      <c r="L46" s="882">
        <f>IF('2-Dati generali-Cond. utilizzo'!$C$48=2,IF('2-Dati generali-Cond. utilizzo'!$C$42=1,IF($C$87=7,0,INDEX('Rendimenti e consumi VRV'!$A$43:$P$48,$C$87,10)/'Defrost VRV'!I82),0),0)</f>
        <v>0</v>
      </c>
      <c r="M46" s="883">
        <f>IF('2-Dati generali-Cond. utilizzo'!$C$48=1,$K46*'1-Ore funzionamento'!$AF10*$K$10,IF($C$87=7,$K46*'1-Ore funzionamento'!$AF10*$K$10,$L46*'1-Ore funzionamento'!$AF10*$K$10))</f>
        <v>0</v>
      </c>
      <c r="N46" s="881">
        <f>IF('2-Dati generali-Cond. utilizzo'!$C$42=1,$N$43*'Riduzioni consumi VRV'!$B57,$N$43*0.7)</f>
        <v>0</v>
      </c>
      <c r="O46" s="882">
        <f>IF('2-Dati generali-Cond. utilizzo'!$C$48=2,IF('2-Dati generali-Cond. utilizzo'!$C$42=1,IF($D$87=7,0,INDEX('Rendimenti e consumi VRV'!$A$43:$P$48,$D$87,10)/'Defrost VRV'!I82),0),0)</f>
        <v>0</v>
      </c>
      <c r="P46" s="883">
        <f>IF('2-Dati generali-Cond. utilizzo'!$C$48=1,$N46*'1-Ore funzionamento'!$AF10*$N$10,IF($D$87=7,$N46*'1-Ore funzionamento'!$AF10*$N$10,$O46*'1-Ore funzionamento'!$AF10*$N$10))</f>
        <v>0</v>
      </c>
      <c r="Q46" s="881">
        <f>IF('2-Dati generali-Cond. utilizzo'!$C$42=1,$Q$43*'Riduzioni consumi VRV'!$B57,$Q$43*0.7)</f>
        <v>0</v>
      </c>
      <c r="R46" s="882">
        <f>IF('2-Dati generali-Cond. utilizzo'!$C$48=2,IF('2-Dati generali-Cond. utilizzo'!$C$42=1,IF($E$87=7,0,INDEX('Rendimenti e consumi VRV'!$A$43:$P$48,$E$87,10)/'Defrost VRV'!I82),0),0)</f>
        <v>0</v>
      </c>
      <c r="S46" s="883">
        <f>IF('2-Dati generali-Cond. utilizzo'!$C$48=1,$Q46*'1-Ore funzionamento'!$AF10*$Q$10,IF($E$87=7,$Q46*'1-Ore funzionamento'!$AF10*$Q$10,$R46*'1-Ore funzionamento'!$AF10*$Q$10))</f>
        <v>0</v>
      </c>
      <c r="T46" s="862"/>
      <c r="U46" s="881">
        <f>IF('2-Dati generali-Cond. utilizzo'!$C$48=1,SUM(K46*$K$10,N46*$N$10,Q46*$Q$10),SUM(L46*$K$10,O46*$N$10,R46*$Q$10))</f>
        <v>0</v>
      </c>
      <c r="V46" s="884">
        <f t="shared" si="1"/>
        <v>0</v>
      </c>
      <c r="X46" s="460"/>
    </row>
    <row r="47" spans="1:24" ht="25.5" hidden="1" x14ac:dyDescent="0.25">
      <c r="A47" s="873" t="s">
        <v>428</v>
      </c>
      <c r="C47" s="844" t="s">
        <v>206</v>
      </c>
      <c r="E47" s="905">
        <f>INDEX(Tabella_caratteristiche_ghp,$C$80,8)*$E$10*'1-Ore funzionamento'!$AG11*0.6</f>
        <v>0</v>
      </c>
      <c r="F47" s="875">
        <f>INDEX(Tabella_caratteristiche_ghp,$D$80,8)*$F$10*'1-Ore funzionamento'!$AG11*0.6</f>
        <v>0</v>
      </c>
      <c r="G47" s="875">
        <f>INDEX(Tabella_caratteristiche_ghp,$E$80,8)*$G$10*'1-Ore funzionamento'!$AG11*0.6</f>
        <v>0</v>
      </c>
      <c r="H47" s="861"/>
      <c r="I47" s="876">
        <f t="shared" si="2"/>
        <v>0</v>
      </c>
      <c r="J47" s="862"/>
      <c r="K47" s="881">
        <f>IF('2-Dati generali-Cond. utilizzo'!$C$42=1,$K$43*'Riduzioni consumi VRV'!$B58,$K$43*0.6)</f>
        <v>0</v>
      </c>
      <c r="L47" s="882">
        <f>IF('2-Dati generali-Cond. utilizzo'!$C$48=2,IF('2-Dati generali-Cond. utilizzo'!$C$42=1,IF($C$87=7,0,INDEX('Rendimenti e consumi VRV'!$A$49:$P$54,$C$87,10)/'Defrost VRV'!I82),0),0)</f>
        <v>0</v>
      </c>
      <c r="M47" s="883">
        <f>IF('2-Dati generali-Cond. utilizzo'!$C$48=1,$K47*'1-Ore funzionamento'!$AF11*$K$10,IF($C$87=7,$K47*'1-Ore funzionamento'!$AF11*$K$10,$L47*'1-Ore funzionamento'!$AF11*$K$10))</f>
        <v>0</v>
      </c>
      <c r="N47" s="881">
        <f>IF('2-Dati generali-Cond. utilizzo'!$C$42=1,$N$43*'Riduzioni consumi VRV'!$B58,$N$43*0.6)</f>
        <v>0</v>
      </c>
      <c r="O47" s="882">
        <f>IF('2-Dati generali-Cond. utilizzo'!$C$48=2,IF('2-Dati generali-Cond. utilizzo'!$C$42=1,IF($D$87=7,0,INDEX('Rendimenti e consumi VRV'!$A$49:$P$54,$D$87,10)/'Defrost VRV'!I82),0),0)</f>
        <v>0</v>
      </c>
      <c r="P47" s="883">
        <f>IF('2-Dati generali-Cond. utilizzo'!$C$48=1,$N47*'1-Ore funzionamento'!$AF11*$N$10,IF($D$87=7,$N47*'1-Ore funzionamento'!$AF11*$N$10,$O47*'1-Ore funzionamento'!$AF11*$N$10))</f>
        <v>0</v>
      </c>
      <c r="Q47" s="881">
        <f>IF('2-Dati generali-Cond. utilizzo'!$C$42=1,$Q$43*'Riduzioni consumi VRV'!$B58,$Q$43*0.6)</f>
        <v>0</v>
      </c>
      <c r="R47" s="882">
        <f>IF('2-Dati generali-Cond. utilizzo'!$C$48=2,IF('2-Dati generali-Cond. utilizzo'!$C$42=1,IF($E$87=7,0,INDEX('Rendimenti e consumi VRV'!$A$49:$P$54,$E$87,10)/'Defrost VRV'!I82),0),0)</f>
        <v>0</v>
      </c>
      <c r="S47" s="883">
        <f>IF('2-Dati generali-Cond. utilizzo'!$C$48=1,$Q47*'1-Ore funzionamento'!$AF11*$Q$10,IF($E$87=7,$Q47*'1-Ore funzionamento'!$AF11*$Q$10,$R47*'1-Ore funzionamento'!$AF11*$Q$10))</f>
        <v>0</v>
      </c>
      <c r="T47" s="862"/>
      <c r="U47" s="881">
        <f>IF('2-Dati generali-Cond. utilizzo'!$C$48=1,SUM(K47*$K$10,N47*$N$10,Q47*$Q$10),SUM(L47*$K$10,O47*$N$10,R47*$Q$10))</f>
        <v>0</v>
      </c>
      <c r="V47" s="884">
        <f t="shared" si="1"/>
        <v>0</v>
      </c>
      <c r="X47" s="460"/>
    </row>
    <row r="48" spans="1:24" ht="25.5" hidden="1" x14ac:dyDescent="0.25">
      <c r="A48" s="873" t="s">
        <v>429</v>
      </c>
      <c r="C48" s="844" t="s">
        <v>206</v>
      </c>
      <c r="E48" s="905">
        <f>INDEX(Tabella_caratteristiche_ghp,$C$80,8)*$E$10*'1-Ore funzionamento'!$AG12*0.5</f>
        <v>0</v>
      </c>
      <c r="F48" s="875">
        <f>INDEX(Tabella_caratteristiche_ghp,$D$80,8)*$F$10*'1-Ore funzionamento'!$AG12*0.5</f>
        <v>0</v>
      </c>
      <c r="G48" s="875">
        <f>INDEX(Tabella_caratteristiche_ghp,$E$80,8)*$G$10*'1-Ore funzionamento'!$AG12*0.5</f>
        <v>0</v>
      </c>
      <c r="H48" s="862"/>
      <c r="I48" s="876">
        <f t="shared" si="2"/>
        <v>0</v>
      </c>
      <c r="J48" s="862"/>
      <c r="K48" s="881">
        <f>IF('2-Dati generali-Cond. utilizzo'!$C$42=1,$K$43*'Riduzioni consumi VRV'!$B59,$K$43*0.5)</f>
        <v>0</v>
      </c>
      <c r="L48" s="882">
        <f>IF('2-Dati generali-Cond. utilizzo'!$C$48=2,IF('2-Dati generali-Cond. utilizzo'!$C$42=1,IF($C$87=7,0,INDEX('Rendimenti e consumi VRV'!$A$55:$P$60,$C$87,10)/'Defrost VRV'!I82),0),0)</f>
        <v>0</v>
      </c>
      <c r="M48" s="883">
        <f>IF('2-Dati generali-Cond. utilizzo'!$C$48=1,$K48*'1-Ore funzionamento'!$AF12*$K$10,IF($C$87=7,$K48*'1-Ore funzionamento'!$AF12*$K$10,$L48*'1-Ore funzionamento'!$AF12*$K$10))</f>
        <v>0</v>
      </c>
      <c r="N48" s="881">
        <f>IF('2-Dati generali-Cond. utilizzo'!$C$42=1,$N$43*'Riduzioni consumi VRV'!$B59,$N$43*0.5)</f>
        <v>0</v>
      </c>
      <c r="O48" s="882">
        <f>IF('2-Dati generali-Cond. utilizzo'!$C$48=2,IF('2-Dati generali-Cond. utilizzo'!$C$42=1,IF($D$87=7,0,INDEX('Rendimenti e consumi VRV'!$A$55:$P$60,$D$87,10)/'Defrost VRV'!I82),0),0)</f>
        <v>0</v>
      </c>
      <c r="P48" s="883">
        <f>IF('2-Dati generali-Cond. utilizzo'!$C$48=1,$N48*'1-Ore funzionamento'!$AF12*$N$10,IF($D$87=7,$N48*'1-Ore funzionamento'!$AF12*$N$10,$O48*'1-Ore funzionamento'!$AF12*$N$10))</f>
        <v>0</v>
      </c>
      <c r="Q48" s="881">
        <f>IF('2-Dati generali-Cond. utilizzo'!$C$42=1,$Q$43*'Riduzioni consumi VRV'!$B59,$Q$43*0.5)</f>
        <v>0</v>
      </c>
      <c r="R48" s="882">
        <f>IF('2-Dati generali-Cond. utilizzo'!$C$48=2,IF('2-Dati generali-Cond. utilizzo'!$C$42=1,IF($E$87=7,0,INDEX('Rendimenti e consumi VRV'!$A$55:$P$60,$E$87,10)/'Defrost VRV'!I82),0),0)</f>
        <v>0</v>
      </c>
      <c r="S48" s="883">
        <f>IF('2-Dati generali-Cond. utilizzo'!$C$48=1,$Q48*'1-Ore funzionamento'!$AF12*$Q$10,IF($E$87=7,$Q48*'1-Ore funzionamento'!$AF12*$Q$10,$R48*'1-Ore funzionamento'!$AF12*$Q$10))</f>
        <v>0</v>
      </c>
      <c r="T48" s="862"/>
      <c r="U48" s="881">
        <f>IF('2-Dati generali-Cond. utilizzo'!$C$48=1,SUM(K48*$K$10,N48*$N$10,Q48*$Q$10),SUM(L48*$K$10,O48*$N$10,R48*$Q$10))</f>
        <v>0</v>
      </c>
      <c r="V48" s="884">
        <f t="shared" si="1"/>
        <v>0</v>
      </c>
      <c r="X48" s="460"/>
    </row>
    <row r="49" spans="1:24" ht="25.5" hidden="1" x14ac:dyDescent="0.25">
      <c r="A49" s="873" t="s">
        <v>430</v>
      </c>
      <c r="C49" s="844" t="s">
        <v>206</v>
      </c>
      <c r="E49" s="905">
        <f>INDEX(Tabella_caratteristiche_ghp,$C$80,8)*$E$10*'1-Ore funzionamento'!$AG13*0.4</f>
        <v>0</v>
      </c>
      <c r="F49" s="875">
        <f>INDEX(Tabella_caratteristiche_ghp,$D$80,8)*$F$10*'1-Ore funzionamento'!$AG13*0.4</f>
        <v>0</v>
      </c>
      <c r="G49" s="875">
        <f>INDEX(Tabella_caratteristiche_ghp,$E$80,8)*$G$10*'1-Ore funzionamento'!$AG13*0.4</f>
        <v>0</v>
      </c>
      <c r="H49" s="862"/>
      <c r="I49" s="876">
        <f t="shared" si="2"/>
        <v>0</v>
      </c>
      <c r="J49" s="862"/>
      <c r="K49" s="881">
        <f>IF('2-Dati generali-Cond. utilizzo'!$C$42=1,$K$43*'Riduzioni consumi VRV'!$B60,$K$43*0.4)</f>
        <v>0</v>
      </c>
      <c r="L49" s="882">
        <f>IF('2-Dati generali-Cond. utilizzo'!$C$48=2,IF('2-Dati generali-Cond. utilizzo'!$C$42=1,IF($C$87=7,0,INDEX('Rendimenti e consumi VRV'!$A$61:$P$66,$C$87,10)/'Defrost VRV'!I82),0),0)</f>
        <v>0</v>
      </c>
      <c r="M49" s="883">
        <f>IF('2-Dati generali-Cond. utilizzo'!$C$48=1,$K49*'1-Ore funzionamento'!$AF13*$K$10,IF($C$87=7,$K49*'1-Ore funzionamento'!$AF13*$K$10,$L49*'1-Ore funzionamento'!$AF13*$K$10))</f>
        <v>0</v>
      </c>
      <c r="N49" s="881">
        <f>IF('2-Dati generali-Cond. utilizzo'!$C$42=1,$N$43*'Riduzioni consumi VRV'!$B60,$N$43*0.4)</f>
        <v>0</v>
      </c>
      <c r="O49" s="882">
        <f>IF('2-Dati generali-Cond. utilizzo'!$C$48=2,IF('2-Dati generali-Cond. utilizzo'!$C$42=1,IF($D$87=7,0,INDEX('Rendimenti e consumi VRV'!$A$61:$P$66,$D$87,10)/'Defrost VRV'!I82),0),0)</f>
        <v>0</v>
      </c>
      <c r="P49" s="883">
        <f>IF('2-Dati generali-Cond. utilizzo'!$C$48=1,$N49*'1-Ore funzionamento'!$AF13*$N$10,IF($D$87=7,$N49*'1-Ore funzionamento'!$AF13*$N$10,$O49*'1-Ore funzionamento'!$AF13*$N$10))</f>
        <v>0</v>
      </c>
      <c r="Q49" s="881">
        <f>IF('2-Dati generali-Cond. utilizzo'!$C$42=1,$Q$43*'Riduzioni consumi VRV'!$B60,$Q$43*0.4)</f>
        <v>0</v>
      </c>
      <c r="R49" s="882">
        <f>IF('2-Dati generali-Cond. utilizzo'!$C$48=2,IF('2-Dati generali-Cond. utilizzo'!$C$42=1,IF($E$87=7,0,INDEX('Rendimenti e consumi VRV'!$A$61:$P$66,$E$87,10)/'Defrost VRV'!I82),0),0)</f>
        <v>0</v>
      </c>
      <c r="S49" s="883">
        <f>IF('2-Dati generali-Cond. utilizzo'!$C$48=1,$Q49*'1-Ore funzionamento'!$AF13*$Q$10,IF($E$87=7,$Q49*'1-Ore funzionamento'!$AF13*$Q$10,$R49*'1-Ore funzionamento'!$AF13*$Q$10))</f>
        <v>0</v>
      </c>
      <c r="T49" s="862"/>
      <c r="U49" s="881">
        <f>IF('2-Dati generali-Cond. utilizzo'!$C$48=1,SUM(K49*$K$10,N49*$N$10,Q49*$Q$10),SUM(L49*$K$10,O49*$N$10,R49*$Q$10))</f>
        <v>0</v>
      </c>
      <c r="V49" s="884">
        <f t="shared" si="1"/>
        <v>0</v>
      </c>
      <c r="X49" s="460"/>
    </row>
    <row r="50" spans="1:24" ht="26.25" hidden="1" thickBot="1" x14ac:dyDescent="0.3">
      <c r="A50" s="885" t="s">
        <v>431</v>
      </c>
      <c r="C50" s="854" t="s">
        <v>206</v>
      </c>
      <c r="E50" s="905">
        <f>INDEX(Tabella_caratteristiche_ghp,$C$80,8)*$E$10*'1-Ore funzionamento'!$AG14*0.3</f>
        <v>0</v>
      </c>
      <c r="F50" s="875">
        <f>INDEX(Tabella_caratteristiche_ghp,$D$80,8)*$F$10*'1-Ore funzionamento'!$AG14*0.3</f>
        <v>0</v>
      </c>
      <c r="G50" s="875">
        <f>INDEX(Tabella_caratteristiche_ghp,$E$80,8)*$G$10*'1-Ore funzionamento'!$AG14*0.3</f>
        <v>0</v>
      </c>
      <c r="H50" s="862"/>
      <c r="I50" s="876">
        <f t="shared" si="2"/>
        <v>0</v>
      </c>
      <c r="J50" s="862"/>
      <c r="K50" s="886">
        <f>IF('2-Dati generali-Cond. utilizzo'!$C$42=1,$K$43*'Riduzioni consumi VRV'!$B61,$K$43*0.3)</f>
        <v>0</v>
      </c>
      <c r="L50" s="887">
        <f>IF('2-Dati generali-Cond. utilizzo'!$C$48=2,IF('2-Dati generali-Cond. utilizzo'!$C$42=1,IF($C$87=7,0,INDEX('Rendimenti e consumi VRV'!$A$67:$P$72,$C$87,10)/'Defrost VRV'!I82),0),0)</f>
        <v>0</v>
      </c>
      <c r="M50" s="888">
        <f>IF('2-Dati generali-Cond. utilizzo'!$C$48=1,$K50*'1-Ore funzionamento'!$AF14*$K$10,IF($C$87=7,$K50*'1-Ore funzionamento'!$AF14*$K$10,$L50*'1-Ore funzionamento'!$AF14*$K$10))</f>
        <v>0</v>
      </c>
      <c r="N50" s="886">
        <f>IF('2-Dati generali-Cond. utilizzo'!$C$42=1,$N$43*'Riduzioni consumi VRV'!$B61,$N$43*0.3)</f>
        <v>0</v>
      </c>
      <c r="O50" s="887">
        <f>IF('2-Dati generali-Cond. utilizzo'!$C$48=2,IF('2-Dati generali-Cond. utilizzo'!$C$42=1,IF($D$87=7,0,INDEX('Rendimenti e consumi VRV'!$A$67:$P$72,$D$87,10)/'Defrost VRV'!I82),0),0)</f>
        <v>0</v>
      </c>
      <c r="P50" s="888">
        <f>IF('2-Dati generali-Cond. utilizzo'!$C$48=1,$N50*'1-Ore funzionamento'!$AF14*$N$10,IF($D$87=7,$N50*'1-Ore funzionamento'!$AF14*$N$10,$O50*'1-Ore funzionamento'!$AF14*$N$10))</f>
        <v>0</v>
      </c>
      <c r="Q50" s="886">
        <f>IF('2-Dati generali-Cond. utilizzo'!$C$42=1,$Q$43*'Riduzioni consumi VRV'!$B61,$Q$43*0.3)</f>
        <v>0</v>
      </c>
      <c r="R50" s="887">
        <f>IF('2-Dati generali-Cond. utilizzo'!$C$48=2,IF('2-Dati generali-Cond. utilizzo'!$C$42=1,IF($E$87=7,0,INDEX('Rendimenti e consumi VRV'!$A$67:$P$72,$E$87,10)/'Defrost VRV'!I82),0),0)</f>
        <v>0</v>
      </c>
      <c r="S50" s="888">
        <f>IF('2-Dati generali-Cond. utilizzo'!$C$48=1,$Q50*'1-Ore funzionamento'!$AF14*$Q$10,IF($E$87=7,$Q50*'1-Ore funzionamento'!$AF14*$Q$10,$R50*'1-Ore funzionamento'!$AF14*$Q$10))</f>
        <v>0</v>
      </c>
      <c r="T50" s="862"/>
      <c r="U50" s="886">
        <f>IF('2-Dati generali-Cond. utilizzo'!$C$48=1,SUM(K50*$K$10,N50*$N$10,Q50*$Q$10),SUM(L50*$K$10,O50*$N$10,R50*$Q$10))</f>
        <v>0</v>
      </c>
      <c r="V50" s="889">
        <f t="shared" si="1"/>
        <v>0</v>
      </c>
      <c r="X50" s="460"/>
    </row>
    <row r="51" spans="1:24" ht="32.1" customHeight="1" thickBot="1" x14ac:dyDescent="0.3">
      <c r="A51" s="906" t="s">
        <v>562</v>
      </c>
      <c r="B51" s="807"/>
      <c r="C51" s="806" t="s">
        <v>206</v>
      </c>
      <c r="D51" s="807"/>
      <c r="E51" s="894">
        <f>SUM(E43:E50)</f>
        <v>0</v>
      </c>
      <c r="F51" s="894">
        <f>SUM(F43:F50)</f>
        <v>0</v>
      </c>
      <c r="G51" s="894">
        <f>SUM(G43:G50)</f>
        <v>0</v>
      </c>
      <c r="H51" s="893"/>
      <c r="I51" s="894">
        <f>SUM(I43:I50)</f>
        <v>0</v>
      </c>
      <c r="J51" s="862"/>
      <c r="K51" s="893"/>
      <c r="L51" s="893"/>
      <c r="M51" s="892">
        <f>SUM(M43:M50)</f>
        <v>0</v>
      </c>
      <c r="N51" s="895"/>
      <c r="O51" s="896"/>
      <c r="P51" s="892">
        <f>SUM(P43:P50)</f>
        <v>0</v>
      </c>
      <c r="Q51" s="895"/>
      <c r="R51" s="896"/>
      <c r="S51" s="892">
        <f>SUM(S43:S50)</f>
        <v>0</v>
      </c>
      <c r="T51" s="895"/>
      <c r="U51" s="897"/>
      <c r="V51" s="892">
        <f>SUM(V43:V50)</f>
        <v>0</v>
      </c>
      <c r="W51" s="461"/>
      <c r="X51" s="460"/>
    </row>
    <row r="52" spans="1:24" ht="6" customHeight="1" x14ac:dyDescent="0.25">
      <c r="A52" s="802"/>
      <c r="E52" s="857"/>
      <c r="F52" s="857"/>
      <c r="G52" s="857"/>
      <c r="H52" s="858"/>
      <c r="I52" s="857"/>
      <c r="J52" s="857"/>
      <c r="K52" s="899"/>
      <c r="L52" s="899"/>
      <c r="M52" s="899"/>
      <c r="N52" s="899"/>
      <c r="O52" s="899"/>
      <c r="P52" s="899"/>
      <c r="Q52" s="899"/>
      <c r="R52" s="899"/>
      <c r="S52" s="899"/>
      <c r="T52" s="900"/>
      <c r="U52" s="899"/>
      <c r="V52" s="901"/>
      <c r="X52" s="460"/>
    </row>
    <row r="53" spans="1:24" ht="39.950000000000003" customHeight="1" thickBot="1" x14ac:dyDescent="0.3">
      <c r="A53" s="802"/>
      <c r="E53" s="857"/>
      <c r="F53" s="857"/>
      <c r="G53" s="857"/>
      <c r="H53" s="858"/>
      <c r="I53" s="857"/>
      <c r="J53" s="857"/>
      <c r="K53" s="899"/>
      <c r="L53" s="899"/>
      <c r="M53" s="899"/>
      <c r="N53" s="899"/>
      <c r="O53" s="899"/>
      <c r="P53" s="899"/>
      <c r="Q53" s="899"/>
      <c r="R53" s="899"/>
      <c r="S53" s="899"/>
      <c r="T53" s="900"/>
      <c r="U53" s="899"/>
      <c r="V53" s="901"/>
      <c r="X53" s="460"/>
    </row>
    <row r="54" spans="1:24" ht="39.950000000000003" customHeight="1" x14ac:dyDescent="0.25">
      <c r="A54" s="802"/>
      <c r="E54" s="857"/>
      <c r="F54" s="857"/>
      <c r="G54" s="857"/>
      <c r="H54" s="858"/>
      <c r="I54" s="857"/>
      <c r="J54" s="857"/>
      <c r="K54" s="1341" t="s">
        <v>556</v>
      </c>
      <c r="L54" s="1342"/>
      <c r="M54" s="1342"/>
      <c r="N54" s="1342"/>
      <c r="O54" s="1342"/>
      <c r="P54" s="1342"/>
      <c r="Q54" s="1342"/>
      <c r="R54" s="1342"/>
      <c r="S54" s="1343"/>
      <c r="T54" s="900"/>
      <c r="U54" s="899"/>
      <c r="V54" s="901"/>
      <c r="X54" s="460"/>
    </row>
    <row r="55" spans="1:24" ht="39.950000000000003" customHeight="1" thickBot="1" x14ac:dyDescent="0.3">
      <c r="A55" s="802"/>
      <c r="E55" s="857"/>
      <c r="F55" s="857"/>
      <c r="G55" s="857"/>
      <c r="H55" s="858"/>
      <c r="I55" s="857"/>
      <c r="J55" s="857"/>
      <c r="K55" s="1344"/>
      <c r="L55" s="1345"/>
      <c r="M55" s="1345"/>
      <c r="N55" s="1345"/>
      <c r="O55" s="1345"/>
      <c r="P55" s="1345"/>
      <c r="Q55" s="1345"/>
      <c r="R55" s="1345"/>
      <c r="S55" s="1346"/>
      <c r="T55" s="900"/>
      <c r="U55" s="899"/>
      <c r="V55" s="901"/>
      <c r="X55" s="460"/>
    </row>
    <row r="56" spans="1:24" ht="32.1" customHeight="1" thickBot="1" x14ac:dyDescent="0.3">
      <c r="A56" s="808" t="s">
        <v>563</v>
      </c>
      <c r="C56" s="803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X56" s="460"/>
    </row>
    <row r="57" spans="1:24" ht="26.25" thickBot="1" x14ac:dyDescent="0.3">
      <c r="A57" s="864" t="s">
        <v>353</v>
      </c>
      <c r="C57" s="865" t="str">
        <f>IF('2-Dati generali-Cond. utilizzo'!$C$43=4,"",INDEX(Tabella_tipo_gas,'2-Dati generali-Cond. utilizzo'!$C$43,2))</f>
        <v>m3/h</v>
      </c>
      <c r="E57" s="1164">
        <f>IF('2-Dati generali-Cond. utilizzo'!$C$43=1,(SUMIF('Rendimenti e consumi ghp'!$A$25:$A$31,C$81,'Rendimenti e consumi ghp'!$D$25:$D$31)*E$10/'Dati x formule'!$D$4*'1-Ore funzionamento'!$AF7),IF('2-Dati generali-Cond. utilizzo'!$C$43=2,(SUMIF('Rendimenti e consumi ghp'!$A$25:$A$31,C$81,'Rendimenti e consumi ghp'!$D$25:$D$31)*E$10/'Dati x formule'!$D$5*'1-Ore funzionamento'!$AF7),(SUMIF('Rendimenti e consumi ghp'!$A$25:$A$31,C$81,'Rendimenti e consumi ghp'!$D$25:$D$31)*E$10/'Dati x formule'!$D$6*'1-Ore funzionamento'!$AF7)))</f>
        <v>0</v>
      </c>
      <c r="F57" s="1165">
        <f>IF('2-Dati generali-Cond. utilizzo'!$C$43=1,(SUMIF('Rendimenti e consumi ghp'!$A$25:$A$31,D$81,'Rendimenti e consumi ghp'!$D$25:$D$31)*F$10/'Dati x formule'!$D$4*'1-Ore funzionamento'!$AF7),IF('2-Dati generali-Cond. utilizzo'!$C$43=2,(SUMIF('Rendimenti e consumi ghp'!$A$25:$A$31,D$81,'Rendimenti e consumi ghp'!$D$25:$D$31)*F$10/'Dati x formule'!$D$5*'1-Ore funzionamento'!$AF7),(SUMIF('Rendimenti e consumi ghp'!$A$25:$A$31,D$81,'Rendimenti e consumi ghp'!$D$25:$D$31)*F$10/'Dati x formule'!$D$6*'1-Ore funzionamento'!$AF7)))</f>
        <v>0</v>
      </c>
      <c r="G57" s="1166">
        <f>IF('2-Dati generali-Cond. utilizzo'!$C$43=1,(SUMIF('Rendimenti e consumi ghp'!$A$25:$A$31,E$81,'Rendimenti e consumi ghp'!$D$25:$D$31)*G$10/'Dati x formule'!$D$4*'1-Ore funzionamento'!$AF7),IF('2-Dati generali-Cond. utilizzo'!$C$43=2,(SUMIF('Rendimenti e consumi ghp'!$A$25:$A$31,E$81,'Rendimenti e consumi ghp'!$D$25:$D$31)*G$10/'Dati x formule'!$D$5*'1-Ore funzionamento'!$AF7),(SUMIF('Rendimenti e consumi ghp'!$A$25:$A$31,E$81,'Rendimenti e consumi ghp'!$D$25:$D$31)*G$10/'Dati x formule'!$D$6*'1-Ore funzionamento'!$AF7)))</f>
        <v>0</v>
      </c>
      <c r="H57" s="862"/>
      <c r="I57" s="907">
        <f>SUM(E57:G57)</f>
        <v>0</v>
      </c>
      <c r="J57" s="862"/>
      <c r="K57" s="868"/>
      <c r="L57" s="869"/>
      <c r="M57" s="870">
        <f>IF('2-Dati generali-Cond. utilizzo'!$C$42=1,0,IF('2-Dati generali-Cond. utilizzo'!$C$43=1,K57/'Dati x formule'!$D$4*'1-Ore funzionamento'!$AF7*$K$10,IF('2-Dati generali-Cond. utilizzo'!$C$43=2,K57/'Dati x formule'!$D$5*'1-Ore funzionamento'!$AF7*$K$10,K57/'Dati x formule'!$D$6*'1-Ore funzionamento'!$AF7*$K$10)))</f>
        <v>0</v>
      </c>
      <c r="N57" s="868"/>
      <c r="O57" s="869"/>
      <c r="P57" s="870">
        <f>IF('2-Dati generali-Cond. utilizzo'!$C$42=1,0,IF('2-Dati generali-Cond. utilizzo'!$C$43=1,N57/'Dati x formule'!$D$4*'1-Ore funzionamento'!$AF7*$N$10,IF('2-Dati generali-Cond. utilizzo'!$C$43=2,N57/'Dati x formule'!$D$5*'1-Ore funzionamento'!$AF7*$N$10,N57/'Dati x formule'!$D$6*'1-Ore funzionamento'!$AF7*$N$10)))</f>
        <v>0</v>
      </c>
      <c r="Q57" s="868"/>
      <c r="R57" s="869"/>
      <c r="S57" s="870">
        <f>IF('2-Dati generali-Cond. utilizzo'!$C$42=1,0,IF('2-Dati generali-Cond. utilizzo'!$C$43=1,Q57/'Dati x formule'!$D$4*'1-Ore funzionamento'!$AF7*$Q$10,IF('2-Dati generali-Cond. utilizzo'!$C$43=2,Q57/'Dati x formule'!$D$5*'1-Ore funzionamento'!$AF7*$Q$10,Q57/'Dati x formule'!$D$6*'1-Ore funzionamento'!$AF7*$Q$10)))</f>
        <v>0</v>
      </c>
      <c r="T57" s="862"/>
      <c r="U57" s="871">
        <f>IF('2-Dati generali-Cond. utilizzo'!$C$48=1,SUM(K57*$K$10,N57*$N$10,Q57*$Q$10),SUM(L57*$K$10,O57*$N$10,R57*$Q$10))</f>
        <v>0</v>
      </c>
      <c r="V57" s="872">
        <f t="shared" ref="V57:V64" si="3">SUM(M57,P57,S57)</f>
        <v>0</v>
      </c>
      <c r="X57" s="460"/>
    </row>
    <row r="58" spans="1:24" ht="25.5" hidden="1" x14ac:dyDescent="0.25">
      <c r="A58" s="873" t="s">
        <v>425</v>
      </c>
      <c r="C58" s="844" t="str">
        <f>IF('2-Dati generali-Cond. utilizzo'!$C$43=4,"",INDEX(Tabella_tipo_gas,'2-Dati generali-Cond. utilizzo'!$C$43,2))</f>
        <v>m3/h</v>
      </c>
      <c r="E58" s="881">
        <f>IF('2-Dati generali-Cond. utilizzo'!$C$43=1,(SUMIF('Rendimenti e consumi ghp'!$A$32:$A$38,C$81,'Rendimenti e consumi ghp'!$D$32:$D$38)*E$10/'Dati x formule'!$D$4*'1-Ore funzionamento'!$AF8),IF('2-Dati generali-Cond. utilizzo'!$C$43=2,(SUMIF('Rendimenti e consumi ghp'!$A$32:$A$38,C$81,'Rendimenti e consumi ghp'!$D$32:$D$38)*E$10/'Dati x formule'!$D$5*'1-Ore funzionamento'!$AF8),(SUMIF('Rendimenti e consumi ghp'!$A$32:$A$38,C$81,'Rendimenti e consumi ghp'!$D$32:$D$38)*E$10/'Dati x formule'!$D$6*'1-Ore funzionamento'!$AF8)))</f>
        <v>0</v>
      </c>
      <c r="F58" s="882">
        <f>IF('2-Dati generali-Cond. utilizzo'!$C$43=1,(SUMIF('Rendimenti e consumi ghp'!$A$32:$A$38,D$81,'Rendimenti e consumi ghp'!$D$32:$D$38)*F$10/'Dati x formule'!$D$4*'1-Ore funzionamento'!$AF8),IF('2-Dati generali-Cond. utilizzo'!$C$43=2,(SUMIF('Rendimenti e consumi ghp'!$A$32:$A$38,D$81,'Rendimenti e consumi ghp'!$D$32:$D$38)*F$10/'Dati x formule'!$D$5*'1-Ore funzionamento'!$AF8),(SUMIF('Rendimenti e consumi ghp'!$A$32:$A$38,D$81,'Rendimenti e consumi ghp'!$D$32:$D$38)*F$10/'Dati x formule'!$D$6*'1-Ore funzionamento'!$AF8)))</f>
        <v>0</v>
      </c>
      <c r="G58" s="883">
        <f>IF('2-Dati generali-Cond. utilizzo'!$C$43=1,(SUMIF('Rendimenti e consumi ghp'!$A$32:$A$38,E$81,'Rendimenti e consumi ghp'!$D$32:$D$38)*G$10/'Dati x formule'!$D$4*'1-Ore funzionamento'!$AF8),IF('2-Dati generali-Cond. utilizzo'!$C$43=2,(SUMIF('Rendimenti e consumi ghp'!$A$32:$A$38,E$81,'Rendimenti e consumi ghp'!$D$32:$D$38)*G$10/'Dati x formule'!$D$5*'1-Ore funzionamento'!$AF8),(SUMIF('Rendimenti e consumi ghp'!$A$32:$A$38,E$81,'Rendimenti e consumi ghp'!$D$32:$D$38)*G$10/'Dati x formule'!$D$6*'1-Ore funzionamento'!$AF8)))</f>
        <v>0</v>
      </c>
      <c r="H58" s="862"/>
      <c r="I58" s="908">
        <f t="shared" ref="I58:I64" si="4">SUM(E58:G58)</f>
        <v>0</v>
      </c>
      <c r="J58" s="862"/>
      <c r="K58" s="877">
        <f>$K$57*0.9</f>
        <v>0</v>
      </c>
      <c r="L58" s="878"/>
      <c r="M58" s="909">
        <f>IF('2-Dati generali-Cond. utilizzo'!$C$42=1,0,IF('2-Dati generali-Cond. utilizzo'!$C$43=1,K58/'Dati x formule'!$D$4*'1-Ore funzionamento'!$AF8*$K$10,IF('2-Dati generali-Cond. utilizzo'!$C$43=2,K58/'Dati x formule'!$D$5*'1-Ore funzionamento'!$AF8*$K$10,K58/'Dati x formule'!$D$6*'1-Ore funzionamento'!$AF8*$K$10)))</f>
        <v>0</v>
      </c>
      <c r="N58" s="877">
        <f>$N$57*0.9</f>
        <v>0</v>
      </c>
      <c r="O58" s="878"/>
      <c r="P58" s="879">
        <f>IF('2-Dati generali-Cond. utilizzo'!$C$42=1,0,IF('2-Dati generali-Cond. utilizzo'!$C$43=1,N58/'Dati x formule'!$D$4*'1-Ore funzionamento'!$AF8*$N$10,IF('2-Dati generali-Cond. utilizzo'!$C$43=2,N58/'Dati x formule'!$D$5*'1-Ore funzionamento'!$AF8*$N$10,N58/'Dati x formule'!$D$6*'1-Ore funzionamento'!$AF8*$N$10)))</f>
        <v>0</v>
      </c>
      <c r="Q58" s="877">
        <f>$Q$57*0.9</f>
        <v>0</v>
      </c>
      <c r="R58" s="878"/>
      <c r="S58" s="879">
        <f>IF('2-Dati generali-Cond. utilizzo'!$C$42=1,0,IF('2-Dati generali-Cond. utilizzo'!$C$43=1,Q58/'Dati x formule'!$D$4*'1-Ore funzionamento'!$AF8*$Q$10,IF('2-Dati generali-Cond. utilizzo'!$C$43=2,Q58/'Dati x formule'!$D$5*'1-Ore funzionamento'!$AF8*$Q$10,Q58/'Dati x formule'!$D$6*'1-Ore funzionamento'!$AF8*$Q$10)))</f>
        <v>0</v>
      </c>
      <c r="T58" s="862"/>
      <c r="U58" s="877">
        <f>IF('2-Dati generali-Cond. utilizzo'!$C$48=1,SUM(K58*$K$10,N58*$N$10,Q58*$Q$10),SUM(L58*$K$10,O58*$N$10,R58*$Q$10))</f>
        <v>0</v>
      </c>
      <c r="V58" s="880">
        <f t="shared" si="3"/>
        <v>0</v>
      </c>
      <c r="X58" s="460"/>
    </row>
    <row r="59" spans="1:24" ht="25.5" hidden="1" x14ac:dyDescent="0.25">
      <c r="A59" s="873" t="s">
        <v>426</v>
      </c>
      <c r="C59" s="844" t="str">
        <f>IF('2-Dati generali-Cond. utilizzo'!$C$43=4,"",INDEX(Tabella_tipo_gas,'2-Dati generali-Cond. utilizzo'!$C$43,2))</f>
        <v>m3/h</v>
      </c>
      <c r="E59" s="881">
        <f>IF('2-Dati generali-Cond. utilizzo'!$C$43=1,(SUMIF('Rendimenti e consumi ghp'!$A$39:$A$45,C$81,'Rendimenti e consumi ghp'!$D$39:$D$45)*E$10/'Dati x formule'!$D$4*'1-Ore funzionamento'!$AF9),IF('2-Dati generali-Cond. utilizzo'!$C$43=2,(SUMIF('Rendimenti e consumi ghp'!$A$39:$A$45,C$81,'Rendimenti e consumi ghp'!$D$39:$D$45)*E$10/'Dati x formule'!$D$5*'1-Ore funzionamento'!$AF9),(SUMIF('Rendimenti e consumi ghp'!$A$39:$A$45,C$81,'Rendimenti e consumi ghp'!$D$39:$D$451)*E$10/'Dati x formule'!$D$6*'1-Ore funzionamento'!$AF9)))</f>
        <v>0</v>
      </c>
      <c r="F59" s="882">
        <f>IF('2-Dati generali-Cond. utilizzo'!$C$43=1,(SUMIF('Rendimenti e consumi ghp'!$A$39:$A$45,D$81,'Rendimenti e consumi ghp'!$D$39:$D$45)*F$10/'Dati x formule'!$D$4*'1-Ore funzionamento'!$AF9),IF('2-Dati generali-Cond. utilizzo'!$C$43=2,(SUMIF('Rendimenti e consumi ghp'!$A$39:$A$45,D$81,'Rendimenti e consumi ghp'!$D$39:$D$45)*F$10/'Dati x formule'!$D$5*'1-Ore funzionamento'!$AF9),(SUMIF('Rendimenti e consumi ghp'!$A$39:$A$45,D$81,'Rendimenti e consumi ghp'!$D$39:$D$451)*F$10/'Dati x formule'!$D$6*'1-Ore funzionamento'!$AF9)))</f>
        <v>0</v>
      </c>
      <c r="G59" s="883">
        <f>IF('2-Dati generali-Cond. utilizzo'!$C$43=1,(SUMIF('Rendimenti e consumi ghp'!$A$39:$A$45,E$81,'Rendimenti e consumi ghp'!$D$39:$D$45)*G$10/'Dati x formule'!$D$4*'1-Ore funzionamento'!$AF9),IF('2-Dati generali-Cond. utilizzo'!$C$43=2,(SUMIF('Rendimenti e consumi ghp'!$A$39:$A$45,E$81,'Rendimenti e consumi ghp'!$D$39:$D$45)*G$10/'Dati x formule'!$D$5*'1-Ore funzionamento'!$AF9),(SUMIF('Rendimenti e consumi ghp'!$A$39:$A$45,E$81,'Rendimenti e consumi ghp'!$D$39:$D$451)*G$10/'Dati x formule'!$D$6*'1-Ore funzionamento'!$AF9)))</f>
        <v>0</v>
      </c>
      <c r="H59" s="862"/>
      <c r="I59" s="908">
        <f t="shared" si="4"/>
        <v>0</v>
      </c>
      <c r="J59" s="862"/>
      <c r="K59" s="881">
        <f>$K$57*0.8</f>
        <v>0</v>
      </c>
      <c r="L59" s="882"/>
      <c r="M59" s="910">
        <f>IF('2-Dati generali-Cond. utilizzo'!$C$42=1,0,IF('2-Dati generali-Cond. utilizzo'!$C$43=1,K59/'Dati x formule'!$D$4*'1-Ore funzionamento'!$AF9*$K$10,IF('2-Dati generali-Cond. utilizzo'!$C$43=2,K59/'Dati x formule'!$D$5*'1-Ore funzionamento'!$AF9*$K$10,K59/'Dati x formule'!$D$6*'1-Ore funzionamento'!$AF9*$K$10)))</f>
        <v>0</v>
      </c>
      <c r="N59" s="881">
        <f>$N$57*0.8</f>
        <v>0</v>
      </c>
      <c r="O59" s="882"/>
      <c r="P59" s="883">
        <f>IF('2-Dati generali-Cond. utilizzo'!$C$42=1,0,IF('2-Dati generali-Cond. utilizzo'!$C$43=1,N59/'Dati x formule'!$D$4*'1-Ore funzionamento'!$AF9*$N$10,IF('2-Dati generali-Cond. utilizzo'!$C$43=2,N59/'Dati x formule'!$D$5*'1-Ore funzionamento'!$AF9*$N$10,N59/'Dati x formule'!$D$6*'1-Ore funzionamento'!$AF9*$N$10)))</f>
        <v>0</v>
      </c>
      <c r="Q59" s="881">
        <f>$Q$57*0.8</f>
        <v>0</v>
      </c>
      <c r="R59" s="882"/>
      <c r="S59" s="883">
        <f>IF('2-Dati generali-Cond. utilizzo'!$C$42=1,0,IF('2-Dati generali-Cond. utilizzo'!$C$43=1,Q59/'Dati x formule'!$D$4*'1-Ore funzionamento'!$AF9*$Q$10,IF('2-Dati generali-Cond. utilizzo'!$C$43=2,Q59/'Dati x formule'!$D$5*'1-Ore funzionamento'!$AF9*$Q$10,Q59/'Dati x formule'!$D$6*'1-Ore funzionamento'!$AF9*$Q$10)))</f>
        <v>0</v>
      </c>
      <c r="T59" s="862"/>
      <c r="U59" s="881">
        <f>IF('2-Dati generali-Cond. utilizzo'!$C$48=1,SUM(K59*$K$10,N59*$N$10,Q59*$Q$10),SUM(L59*$K$10,O59*$N$10,R59*$Q$10))</f>
        <v>0</v>
      </c>
      <c r="V59" s="884">
        <f t="shared" si="3"/>
        <v>0</v>
      </c>
      <c r="X59" s="460"/>
    </row>
    <row r="60" spans="1:24" ht="25.5" hidden="1" x14ac:dyDescent="0.25">
      <c r="A60" s="873" t="s">
        <v>427</v>
      </c>
      <c r="C60" s="844" t="str">
        <f>IF('2-Dati generali-Cond. utilizzo'!$C$43=4,"",INDEX(Tabella_tipo_gas,'2-Dati generali-Cond. utilizzo'!$C$43,2))</f>
        <v>m3/h</v>
      </c>
      <c r="E60" s="881">
        <f>IF('2-Dati generali-Cond. utilizzo'!$C$43=1,(SUMIF('Rendimenti e consumi ghp'!$A$46:$A$52,C$81,'Rendimenti e consumi ghp'!$D$46:$D$52)*E$10/'Dati x formule'!$D$4*'1-Ore funzionamento'!$AF10),IF('2-Dati generali-Cond. utilizzo'!$C$43=2,(SUMIF('Rendimenti e consumi ghp'!$A$46:$A$52,C$81,'Rendimenti e consumi ghp'!$D$46:$D$52)*E$10/'Dati x formule'!$D$5*'1-Ore funzionamento'!$AF10),(SUMIF('Rendimenti e consumi ghp'!$A$46:$A$52,C$81,'Rendimenti e consumi ghp'!$D$46:$D$52)*E$10/'Dati x formule'!$D$6*'1-Ore funzionamento'!$AF10)))</f>
        <v>0</v>
      </c>
      <c r="F60" s="882">
        <f>IF('2-Dati generali-Cond. utilizzo'!$C$43=1,(SUMIF('Rendimenti e consumi ghp'!$A$46:$A$52,D$81,'Rendimenti e consumi ghp'!$D$46:$D$52)*F$10/'Dati x formule'!$D$4*'1-Ore funzionamento'!$AF10),IF('2-Dati generali-Cond. utilizzo'!$C$43=2,(SUMIF('Rendimenti e consumi ghp'!$A$46:$A$52,D$81,'Rendimenti e consumi ghp'!$D$46:$D$52)*F$10/'Dati x formule'!$D$5*'1-Ore funzionamento'!$AF10),(SUMIF('Rendimenti e consumi ghp'!$A$46:$A$52,D$81,'Rendimenti e consumi ghp'!$D$46:$D$52)*F$10/'Dati x formule'!$D$6*'1-Ore funzionamento'!$AF10)))</f>
        <v>0</v>
      </c>
      <c r="G60" s="883">
        <f>IF('2-Dati generali-Cond. utilizzo'!$C$43=1,(SUMIF('Rendimenti e consumi ghp'!$A$46:$A$52,E$81,'Rendimenti e consumi ghp'!$D$46:$D$52)*G$10/'Dati x formule'!$D$4*'1-Ore funzionamento'!$AF10),IF('2-Dati generali-Cond. utilizzo'!$C$43=2,(SUMIF('Rendimenti e consumi ghp'!$A$46:$A$52,E$81,'Rendimenti e consumi ghp'!$D$46:$D$52)*G$10/'Dati x formule'!$D$5*'1-Ore funzionamento'!$AF10),(SUMIF('Rendimenti e consumi ghp'!$A$46:$A$52,E$81,'Rendimenti e consumi ghp'!$D$46:$D$52)*G$10/'Dati x formule'!$D$6*'1-Ore funzionamento'!$AF10)))</f>
        <v>0</v>
      </c>
      <c r="H60" s="862"/>
      <c r="I60" s="908">
        <f t="shared" si="4"/>
        <v>0</v>
      </c>
      <c r="J60" s="862"/>
      <c r="K60" s="881">
        <f>$K$57*0.7</f>
        <v>0</v>
      </c>
      <c r="L60" s="882"/>
      <c r="M60" s="910">
        <f>IF('2-Dati generali-Cond. utilizzo'!$C$42=1,0,IF('2-Dati generali-Cond. utilizzo'!$C$43=1,K60/'Dati x formule'!$D$4*'1-Ore funzionamento'!$AF10*$K$10,IF('2-Dati generali-Cond. utilizzo'!$C$43=2,K60/'Dati x formule'!$D$5*'1-Ore funzionamento'!$AF10*$K$10,K60/'Dati x formule'!$D$6*'1-Ore funzionamento'!$AF10*$K$10)))</f>
        <v>0</v>
      </c>
      <c r="N60" s="881">
        <f>$N$57*0.7</f>
        <v>0</v>
      </c>
      <c r="O60" s="882"/>
      <c r="P60" s="883">
        <f>IF('2-Dati generali-Cond. utilizzo'!$C$42=1,0,IF('2-Dati generali-Cond. utilizzo'!$C$43=1,N60/'Dati x formule'!$D$4*'1-Ore funzionamento'!$AF10*$N$10,IF('2-Dati generali-Cond. utilizzo'!$C$43=2,N60/'Dati x formule'!$D$5*'1-Ore funzionamento'!$AF10*$N$10,N60/'Dati x formule'!$D$6*'1-Ore funzionamento'!$AF10*$N$10)))</f>
        <v>0</v>
      </c>
      <c r="Q60" s="881">
        <f>$Q$57*0.7</f>
        <v>0</v>
      </c>
      <c r="R60" s="882"/>
      <c r="S60" s="883">
        <f>IF('2-Dati generali-Cond. utilizzo'!$C$42=1,0,IF('2-Dati generali-Cond. utilizzo'!$C$43=1,Q60/'Dati x formule'!$D$4*'1-Ore funzionamento'!$AF10*$Q$10,IF('2-Dati generali-Cond. utilizzo'!$C$43=2,Q60/'Dati x formule'!$D$5*'1-Ore funzionamento'!$AF10*$Q$10,Q60/'Dati x formule'!$D$6*'1-Ore funzionamento'!$AF10*$Q$10)))</f>
        <v>0</v>
      </c>
      <c r="T60" s="862"/>
      <c r="U60" s="881">
        <f>IF('2-Dati generali-Cond. utilizzo'!$C$48=1,SUM(K60*$K$10,N60*$N$10,Q60*$Q$10),SUM(L60*$K$10,O60*$N$10,R60*$Q$10))</f>
        <v>0</v>
      </c>
      <c r="V60" s="884">
        <f t="shared" si="3"/>
        <v>0</v>
      </c>
      <c r="X60" s="460"/>
    </row>
    <row r="61" spans="1:24" ht="25.5" hidden="1" x14ac:dyDescent="0.25">
      <c r="A61" s="873" t="s">
        <v>428</v>
      </c>
      <c r="C61" s="844" t="str">
        <f>IF('2-Dati generali-Cond. utilizzo'!$C$43=4,"",INDEX(Tabella_tipo_gas,'2-Dati generali-Cond. utilizzo'!$C$43,2))</f>
        <v>m3/h</v>
      </c>
      <c r="E61" s="881">
        <f>IF('2-Dati generali-Cond. utilizzo'!$C$43=1,(SUMIF('Rendimenti e consumi ghp'!$A$53:$A$59,C$81,'Rendimenti e consumi ghp'!$D$53:$D$59)*E$10/'Dati x formule'!$D$4*'1-Ore funzionamento'!$AF11),IF('2-Dati generali-Cond. utilizzo'!$C$43=2,(SUMIF('Rendimenti e consumi ghp'!$A$53:$A$59,C$81,'Rendimenti e consumi ghp'!$D$53:$D$59)*E$10/'Dati x formule'!$D$5*'1-Ore funzionamento'!$AF11),(SUMIF('Rendimenti e consumi ghp'!$A$53:$A$59,C$81,'Rendimenti e consumi ghp'!$D$53:$D$59)*E$10/'Dati x formule'!$D$6*'1-Ore funzionamento'!$AF11)))</f>
        <v>0</v>
      </c>
      <c r="F61" s="882">
        <f>IF('2-Dati generali-Cond. utilizzo'!$C$43=1,(SUMIF('Rendimenti e consumi ghp'!$A$53:$A$59,D$81,'Rendimenti e consumi ghp'!$D$53:$D$59)*F$10/'Dati x formule'!$D$4*'1-Ore funzionamento'!$AF11),IF('2-Dati generali-Cond. utilizzo'!$C$43=2,(SUMIF('Rendimenti e consumi ghp'!$A$53:$A$59,D$81,'Rendimenti e consumi ghp'!$D$53:$D$59)*F$10/'Dati x formule'!$D$5*'1-Ore funzionamento'!$AF11),(SUMIF('Rendimenti e consumi ghp'!$A$53:$A$59,D$81,'Rendimenti e consumi ghp'!$D$53:$D$59)*F$10/'Dati x formule'!$D$6*'1-Ore funzionamento'!$AF11)))</f>
        <v>0</v>
      </c>
      <c r="G61" s="883">
        <f>IF('2-Dati generali-Cond. utilizzo'!$C$43=1,(SUMIF('Rendimenti e consumi ghp'!$A$53:$A$59,E$81,'Rendimenti e consumi ghp'!$D$53:$D$59)*G$10/'Dati x formule'!$D$4*'1-Ore funzionamento'!$AF11),IF('2-Dati generali-Cond. utilizzo'!$C$43=2,(SUMIF('Rendimenti e consumi ghp'!$A$53:$A$59,E$81,'Rendimenti e consumi ghp'!$D$53:$D$59)*G$10/'Dati x formule'!$D$5*'1-Ore funzionamento'!$AF11),(SUMIF('Rendimenti e consumi ghp'!$A$53:$A$59,E$81,'Rendimenti e consumi ghp'!$D$53:$D$59)*G$10/'Dati x formule'!$D$6*'1-Ore funzionamento'!$AF11)))</f>
        <v>0</v>
      </c>
      <c r="H61" s="862"/>
      <c r="I61" s="908">
        <f t="shared" si="4"/>
        <v>0</v>
      </c>
      <c r="J61" s="862"/>
      <c r="K61" s="881">
        <f>$K$57*0.6</f>
        <v>0</v>
      </c>
      <c r="L61" s="882"/>
      <c r="M61" s="910">
        <f>IF('2-Dati generali-Cond. utilizzo'!$C$42=1,0,IF('2-Dati generali-Cond. utilizzo'!$C$43=1,K61/'Dati x formule'!$D$4*'1-Ore funzionamento'!$AF11*$K$10,IF('2-Dati generali-Cond. utilizzo'!$C$43=2,K61/'Dati x formule'!$D$5*'1-Ore funzionamento'!$AF11*$K$10,K61/'Dati x formule'!$D$6*'1-Ore funzionamento'!$AF11*$K$10)))</f>
        <v>0</v>
      </c>
      <c r="N61" s="881">
        <f>$N$57*0.6</f>
        <v>0</v>
      </c>
      <c r="O61" s="882"/>
      <c r="P61" s="883">
        <f>IF('2-Dati generali-Cond. utilizzo'!$C$42=1,0,IF('2-Dati generali-Cond. utilizzo'!$C$43=1,N61/'Dati x formule'!$D$4*'1-Ore funzionamento'!$AF11*$N$10,IF('2-Dati generali-Cond. utilizzo'!$C$43=2,N61/'Dati x formule'!$D$5*'1-Ore funzionamento'!$AF11*$N$10,N61/'Dati x formule'!$D$6*'1-Ore funzionamento'!$AF11*$N$10)))</f>
        <v>0</v>
      </c>
      <c r="Q61" s="881">
        <f>$Q$57*0.6</f>
        <v>0</v>
      </c>
      <c r="R61" s="882"/>
      <c r="S61" s="883">
        <f>IF('2-Dati generali-Cond. utilizzo'!$C$42=1,0,IF('2-Dati generali-Cond. utilizzo'!$C$43=1,Q61/'Dati x formule'!$D$4*'1-Ore funzionamento'!$AF11*$Q$10,IF('2-Dati generali-Cond. utilizzo'!$C$43=2,Q61/'Dati x formule'!$D$5*'1-Ore funzionamento'!$AF11*$Q$10,Q61/'Dati x formule'!$D$6*'1-Ore funzionamento'!$AF11*$Q$10)))</f>
        <v>0</v>
      </c>
      <c r="T61" s="862"/>
      <c r="U61" s="881">
        <f>IF('2-Dati generali-Cond. utilizzo'!$C$48=1,SUM(K61*$K$10,N61*$N$10,Q61*$Q$10),SUM(L61*$K$10,O61*$N$10,R61*$Q$10))</f>
        <v>0</v>
      </c>
      <c r="V61" s="884">
        <f t="shared" si="3"/>
        <v>0</v>
      </c>
      <c r="X61" s="460"/>
    </row>
    <row r="62" spans="1:24" ht="25.5" hidden="1" x14ac:dyDescent="0.25">
      <c r="A62" s="873" t="s">
        <v>429</v>
      </c>
      <c r="C62" s="844" t="str">
        <f>IF('2-Dati generali-Cond. utilizzo'!$C$43=4,"",INDEX(Tabella_tipo_gas,'2-Dati generali-Cond. utilizzo'!$C$43,2))</f>
        <v>m3/h</v>
      </c>
      <c r="E62" s="881">
        <f>IF('2-Dati generali-Cond. utilizzo'!$C$43=1,(SUMIF('Rendimenti e consumi ghp'!$A$60:$A$66,C$81,'Rendimenti e consumi ghp'!$D$60:$D$66)*E$10/'Dati x formule'!$D$4*'1-Ore funzionamento'!$AF12),IF('2-Dati generali-Cond. utilizzo'!$C$43=2,(SUMIF('Rendimenti e consumi ghp'!$A$60:$A$66,C$81,'Rendimenti e consumi ghp'!$D$60:$D$66)*E$10/'Dati x formule'!$D$5*'1-Ore funzionamento'!$AF12),(SUMIF('Rendimenti e consumi ghp'!$A$60:$A$66,C$81,'Rendimenti e consumi ghp'!$D$60:$D$66)*E$10/'Dati x formule'!$D$6*'1-Ore funzionamento'!$AF12)))</f>
        <v>0</v>
      </c>
      <c r="F62" s="882">
        <f>IF('2-Dati generali-Cond. utilizzo'!$C$43=1,(SUMIF('Rendimenti e consumi ghp'!$A$60:$A$66,D$81,'Rendimenti e consumi ghp'!$D$60:$D$66)*F$10/'Dati x formule'!$D$4*'1-Ore funzionamento'!$AF12),IF('2-Dati generali-Cond. utilizzo'!$C$43=2,(SUMIF('Rendimenti e consumi ghp'!$A$60:$A$66,D$81,'Rendimenti e consumi ghp'!$D$60:$D$66)*F$10/'Dati x formule'!$D$5*'1-Ore funzionamento'!$AF12),(SUMIF('Rendimenti e consumi ghp'!$A$60:$A$66,D$81,'Rendimenti e consumi ghp'!$D$60:$D$66)*F$10/'Dati x formule'!$D$6*'1-Ore funzionamento'!$AF12)))</f>
        <v>0</v>
      </c>
      <c r="G62" s="883">
        <f>IF('2-Dati generali-Cond. utilizzo'!$C$43=1,(SUMIF('Rendimenti e consumi ghp'!$A$60:$A$66,E$81,'Rendimenti e consumi ghp'!$D$60:$D$66)*G$10/'Dati x formule'!$D$4*'1-Ore funzionamento'!$AF12),IF('2-Dati generali-Cond. utilizzo'!$C$43=2,(SUMIF('Rendimenti e consumi ghp'!$A$60:$A$66,E$81,'Rendimenti e consumi ghp'!$D$60:$D$66)*G$10/'Dati x formule'!$D$5*'1-Ore funzionamento'!$AF12),(SUMIF('Rendimenti e consumi ghp'!$A$60:$A$66,E$81,'Rendimenti e consumi ghp'!$D$60:$D$66)*G$10/'Dati x formule'!$D$6*'1-Ore funzionamento'!$AF12)))</f>
        <v>0</v>
      </c>
      <c r="H62" s="862"/>
      <c r="I62" s="908">
        <f t="shared" si="4"/>
        <v>0</v>
      </c>
      <c r="J62" s="862"/>
      <c r="K62" s="881">
        <f>$K$57*0.5</f>
        <v>0</v>
      </c>
      <c r="L62" s="882"/>
      <c r="M62" s="910">
        <f>IF('2-Dati generali-Cond. utilizzo'!$C$42=1,0,IF('2-Dati generali-Cond. utilizzo'!$C$43=1,K62/'Dati x formule'!$D$4*'1-Ore funzionamento'!$AF12*$K$10,IF('2-Dati generali-Cond. utilizzo'!$C$43=2,K62/'Dati x formule'!$D$5*'1-Ore funzionamento'!$AF12*$K$10,K62/'Dati x formule'!$D$6*'1-Ore funzionamento'!$AF12*$K$10)))</f>
        <v>0</v>
      </c>
      <c r="N62" s="881">
        <f>$N$57*0.5</f>
        <v>0</v>
      </c>
      <c r="O62" s="882"/>
      <c r="P62" s="883">
        <f>IF('2-Dati generali-Cond. utilizzo'!$C$42=1,0,IF('2-Dati generali-Cond. utilizzo'!$C$43=1,N62/'Dati x formule'!$D$4*'1-Ore funzionamento'!$AF12*$N$10,IF('2-Dati generali-Cond. utilizzo'!$C$43=2,N62/'Dati x formule'!$D$5*'1-Ore funzionamento'!$AF12*$N$10,N62/'Dati x formule'!$D$6*'1-Ore funzionamento'!$AF12*$N$10)))</f>
        <v>0</v>
      </c>
      <c r="Q62" s="881">
        <f>$Q$57*0.5</f>
        <v>0</v>
      </c>
      <c r="R62" s="882"/>
      <c r="S62" s="883">
        <f>IF('2-Dati generali-Cond. utilizzo'!$C$42=1,0,IF('2-Dati generali-Cond. utilizzo'!$C$43=1,Q62/'Dati x formule'!$D$4*'1-Ore funzionamento'!$AF12*$Q$10,IF('2-Dati generali-Cond. utilizzo'!$C$43=2,Q62/'Dati x formule'!$D$5*'1-Ore funzionamento'!$AF12*$Q$10,Q62/'Dati x formule'!$D$6*'1-Ore funzionamento'!$AF12*$Q$10)))</f>
        <v>0</v>
      </c>
      <c r="T62" s="862"/>
      <c r="U62" s="881">
        <f>IF('2-Dati generali-Cond. utilizzo'!$C$48=1,SUM(K62*$K$10,N62*$N$10,Q62*$Q$10),SUM(L62*$K$10,O62*$N$10,R62*$Q$10))</f>
        <v>0</v>
      </c>
      <c r="V62" s="884">
        <f t="shared" si="3"/>
        <v>0</v>
      </c>
      <c r="X62" s="460"/>
    </row>
    <row r="63" spans="1:24" ht="25.5" hidden="1" x14ac:dyDescent="0.25">
      <c r="A63" s="873" t="s">
        <v>430</v>
      </c>
      <c r="C63" s="844" t="str">
        <f>IF('2-Dati generali-Cond. utilizzo'!$C$43=4,"",INDEX(Tabella_tipo_gas,'2-Dati generali-Cond. utilizzo'!$C$43,2))</f>
        <v>m3/h</v>
      </c>
      <c r="E63" s="881">
        <f>IF('2-Dati generali-Cond. utilizzo'!$C$43=1,(SUMIF('Rendimenti e consumi ghp'!$A$67:$A$73,C$81,'Rendimenti e consumi ghp'!$D$67:$D$73)*E$10/'Dati x formule'!$D$4*'1-Ore funzionamento'!$AF13),IF('2-Dati generali-Cond. utilizzo'!$C$43=2,(SUMIF('Rendimenti e consumi ghp'!$A$67:$A$73,C$81,'Rendimenti e consumi ghp'!$D$67:$D$73)*E$10/'Dati x formule'!$D$5*'1-Ore funzionamento'!$AF13),(SUMIF('Rendimenti e consumi ghp'!$A$67:$A$73,C$81,'Rendimenti e consumi ghp'!$D$67:$D$73)*E$10/'Dati x formule'!$D$6*'1-Ore funzionamento'!$AF13)))</f>
        <v>0</v>
      </c>
      <c r="F63" s="882">
        <f>IF('2-Dati generali-Cond. utilizzo'!$C$43=1,(SUMIF('Rendimenti e consumi ghp'!$A$67:$A$73,D$81,'Rendimenti e consumi ghp'!$D$67:$D$73)*F$10/'Dati x formule'!$D$4*'1-Ore funzionamento'!$AF13),IF('2-Dati generali-Cond. utilizzo'!$C$43=2,(SUMIF('Rendimenti e consumi ghp'!$A$67:$A$73,D$81,'Rendimenti e consumi ghp'!$D$67:$D$73)*F$10/'Dati x formule'!$D$5*'1-Ore funzionamento'!$AF13),(SUMIF('Rendimenti e consumi ghp'!$A$67:$A$73,D$81,'Rendimenti e consumi ghp'!$D$67:$D$73)*F$10/'Dati x formule'!$D$6*'1-Ore funzionamento'!$AF13)))</f>
        <v>0</v>
      </c>
      <c r="G63" s="883">
        <f>IF('2-Dati generali-Cond. utilizzo'!$C$43=1,(SUMIF('Rendimenti e consumi ghp'!$A$67:$A$73,E$81,'Rendimenti e consumi ghp'!$D$67:$D$73)*G$10/'Dati x formule'!$D$4*'1-Ore funzionamento'!$AF13),IF('2-Dati generali-Cond. utilizzo'!$C$43=2,(SUMIF('Rendimenti e consumi ghp'!$A$67:$A$73,E$81,'Rendimenti e consumi ghp'!$D$67:$D$73)*G$10/'Dati x formule'!$D$5*'1-Ore funzionamento'!$AF13),(SUMIF('Rendimenti e consumi ghp'!$A$67:$A$73,E$81,'Rendimenti e consumi ghp'!$D$67:$D$73)*G$10/'Dati x formule'!$D$6*'1-Ore funzionamento'!$AF13)))</f>
        <v>0</v>
      </c>
      <c r="H63" s="862"/>
      <c r="I63" s="908">
        <f t="shared" si="4"/>
        <v>0</v>
      </c>
      <c r="J63" s="862"/>
      <c r="K63" s="881">
        <f>$K$57*0.4</f>
        <v>0</v>
      </c>
      <c r="L63" s="882"/>
      <c r="M63" s="910">
        <f>IF('2-Dati generali-Cond. utilizzo'!$C$42=1,0,IF('2-Dati generali-Cond. utilizzo'!$C$43=1,K63/'Dati x formule'!$D$4*'1-Ore funzionamento'!$AF13*$K$10,IF('2-Dati generali-Cond. utilizzo'!$C$43=2,K63/'Dati x formule'!$D$5*'1-Ore funzionamento'!$AF13*$K$10,K63/'Dati x formule'!$D$6*'1-Ore funzionamento'!$AF13*$K$10)))</f>
        <v>0</v>
      </c>
      <c r="N63" s="881">
        <f>$N$57*0.4</f>
        <v>0</v>
      </c>
      <c r="O63" s="882"/>
      <c r="P63" s="883">
        <f>IF('2-Dati generali-Cond. utilizzo'!$C$42=1,0,IF('2-Dati generali-Cond. utilizzo'!$C$43=1,N63/'Dati x formule'!$D$4*'1-Ore funzionamento'!$AF13*$N$10,IF('2-Dati generali-Cond. utilizzo'!$C$43=2,N63/'Dati x formule'!$D$5*'1-Ore funzionamento'!$AF13*$N$10,N63/'Dati x formule'!$D$6*'1-Ore funzionamento'!$AF13*$N$10)))</f>
        <v>0</v>
      </c>
      <c r="Q63" s="881">
        <f>$Q$57*0.4</f>
        <v>0</v>
      </c>
      <c r="R63" s="882"/>
      <c r="S63" s="883">
        <f>IF('2-Dati generali-Cond. utilizzo'!$C$42=1,0,IF('2-Dati generali-Cond. utilizzo'!$C$43=1,Q63/'Dati x formule'!$D$4*'1-Ore funzionamento'!$AF13*$Q$10,IF('2-Dati generali-Cond. utilizzo'!$C$43=2,Q63/'Dati x formule'!$D$5*'1-Ore funzionamento'!$AF13*$Q$10,Q63/'Dati x formule'!$D$6*'1-Ore funzionamento'!$AF13*$Q$10)))</f>
        <v>0</v>
      </c>
      <c r="T63" s="862"/>
      <c r="U63" s="881">
        <f>IF('2-Dati generali-Cond. utilizzo'!$C$48=1,SUM(K63*$K$10,N63*$N$10,Q63*$Q$10),SUM(L63*$K$10,O63*$N$10,R63*$Q$10))</f>
        <v>0</v>
      </c>
      <c r="V63" s="884">
        <f t="shared" si="3"/>
        <v>0</v>
      </c>
      <c r="X63" s="460"/>
    </row>
    <row r="64" spans="1:24" ht="26.25" hidden="1" thickBot="1" x14ac:dyDescent="0.3">
      <c r="A64" s="885" t="s">
        <v>431</v>
      </c>
      <c r="C64" s="854" t="str">
        <f>IF('2-Dati generali-Cond. utilizzo'!$C$43=4,"",INDEX(Tabella_tipo_gas,'2-Dati generali-Cond. utilizzo'!$C$43,2))</f>
        <v>m3/h</v>
      </c>
      <c r="E64" s="886">
        <f>IF('2-Dati generali-Cond. utilizzo'!$C$43=1,(SUMIF('Rendimenti e consumi ghp'!$A$74:$A$80,C$81,'Rendimenti e consumi ghp'!$D$74:$D$80)*E$10/'Dati x formule'!$D$4*'1-Ore funzionamento'!$AF14),IF('2-Dati generali-Cond. utilizzo'!$C$43=2,(SUMIF('Rendimenti e consumi ghp'!$A$74:$A$80,C$81,'Rendimenti e consumi ghp'!$D$74:$D$80)*E$10/'Dati x formule'!$D$5*'1-Ore funzionamento'!$AF14),(SUMIF('Rendimenti e consumi ghp'!$A$74:$A$80,C$81,'Rendimenti e consumi ghp'!$D$74:$D$80)*E$10/'Dati x formule'!$D$6*'1-Ore funzionamento'!$AF14)))</f>
        <v>0</v>
      </c>
      <c r="F64" s="887">
        <f>IF('2-Dati generali-Cond. utilizzo'!$C$43=1,(SUMIF('Rendimenti e consumi ghp'!$A$74:$A$80,D$81,'Rendimenti e consumi ghp'!$D$74:$D$80)*F$10/'Dati x formule'!$D$4*'1-Ore funzionamento'!$AF14),IF('2-Dati generali-Cond. utilizzo'!$C$43=2,(SUMIF('Rendimenti e consumi ghp'!$A$74:$A$80,D$81,'Rendimenti e consumi ghp'!$D$74:$D$80)*F$10/'Dati x formule'!$D$5*'1-Ore funzionamento'!$AF14),(SUMIF('Rendimenti e consumi ghp'!$A$74:$A$80,D$81,'Rendimenti e consumi ghp'!$D$74:$D$80)*F$10/'Dati x formule'!$D$6*'1-Ore funzionamento'!$AF14)))</f>
        <v>0</v>
      </c>
      <c r="G64" s="888">
        <f>IF('2-Dati generali-Cond. utilizzo'!$C$43=1,(SUMIF('Rendimenti e consumi ghp'!$A$74:$A$80,E$81,'Rendimenti e consumi ghp'!$D$74:$D$80)*G$10/'Dati x formule'!$D$4*'1-Ore funzionamento'!$AF14),IF('2-Dati generali-Cond. utilizzo'!$C$43=2,(SUMIF('Rendimenti e consumi ghp'!$A$74:$A$80,E$81,'Rendimenti e consumi ghp'!$D$74:$D$80)*G$10/'Dati x formule'!$D$5*'1-Ore funzionamento'!$AF14),(SUMIF('Rendimenti e consumi ghp'!$A$74:$A$80,E$81,'Rendimenti e consumi ghp'!$D$74:$D$80)*G$10/'Dati x formule'!$D$6*'1-Ore funzionamento'!$AF14)))</f>
        <v>0</v>
      </c>
      <c r="H64" s="862"/>
      <c r="I64" s="911">
        <f t="shared" si="4"/>
        <v>0</v>
      </c>
      <c r="J64" s="862"/>
      <c r="K64" s="886">
        <f>$K$57*0.3</f>
        <v>0</v>
      </c>
      <c r="L64" s="887"/>
      <c r="M64" s="912">
        <f>IF('2-Dati generali-Cond. utilizzo'!$C$42=1,0,IF('2-Dati generali-Cond. utilizzo'!$C$43=1,K64/'Dati x formule'!$D$4*'1-Ore funzionamento'!$AF14*$K$10,IF('2-Dati generali-Cond. utilizzo'!$C$43=2,K64/'Dati x formule'!$D$5*'1-Ore funzionamento'!$AF14*$K$10,K64/'Dati x formule'!$D$6*'1-Ore funzionamento'!$AF14*$K$10)))</f>
        <v>0</v>
      </c>
      <c r="N64" s="886">
        <f>$N$57*0.3</f>
        <v>0</v>
      </c>
      <c r="O64" s="887"/>
      <c r="P64" s="888">
        <f>IF('2-Dati generali-Cond. utilizzo'!$C$42=1,0,IF('2-Dati generali-Cond. utilizzo'!$C$43=1,N64/'Dati x formule'!$D$4*'1-Ore funzionamento'!$AF14*$N$10,IF('2-Dati generali-Cond. utilizzo'!$C$43=2,N64/'Dati x formule'!$D$5*'1-Ore funzionamento'!$AF14*$N$10,N64/'Dati x formule'!$D$6*'1-Ore funzionamento'!$AF14*$N$10)))</f>
        <v>0</v>
      </c>
      <c r="Q64" s="886">
        <f>$Q$57*0.3</f>
        <v>0</v>
      </c>
      <c r="R64" s="887"/>
      <c r="S64" s="888">
        <f>IF('2-Dati generali-Cond. utilizzo'!$C$42=1,0,IF('2-Dati generali-Cond. utilizzo'!$C$43=1,Q64/'Dati x formule'!$D$4*'1-Ore funzionamento'!$AF14*$Q$10,IF('2-Dati generali-Cond. utilizzo'!$C$43=2,Q64/'Dati x formule'!$D$5*'1-Ore funzionamento'!$AF14*$Q$10,Q64/'Dati x formule'!$D$6*'1-Ore funzionamento'!$AF14*$Q$10)))</f>
        <v>0</v>
      </c>
      <c r="T64" s="862"/>
      <c r="U64" s="886">
        <f>IF('2-Dati generali-Cond. utilizzo'!$C$48=1,SUM(K64*$K$10,N64*$N$10,Q64*$Q$10),SUM(L64*$K$10,O64*$N$10,R64*$Q$10))</f>
        <v>0</v>
      </c>
      <c r="V64" s="889">
        <f t="shared" si="3"/>
        <v>0</v>
      </c>
      <c r="X64" s="460"/>
    </row>
    <row r="65" spans="1:24" ht="32.1" customHeight="1" thickBot="1" x14ac:dyDescent="0.3">
      <c r="A65" s="906" t="s">
        <v>564</v>
      </c>
      <c r="B65" s="807"/>
      <c r="C65" s="818" t="str">
        <f>IF('2-Dati generali-Cond. utilizzo'!$C$43=4,"",INDEX(Tabella_tipo_gas,'2-Dati generali-Cond. utilizzo'!$C$43,2))</f>
        <v>m3/h</v>
      </c>
      <c r="D65" s="807"/>
      <c r="E65" s="892">
        <f>SUM(E57:E64)</f>
        <v>0</v>
      </c>
      <c r="F65" s="1162">
        <f>SUM(F57:F64)</f>
        <v>0</v>
      </c>
      <c r="G65" s="1163">
        <f>SUM(G57:G64)</f>
        <v>0</v>
      </c>
      <c r="H65" s="896"/>
      <c r="I65" s="913">
        <f>IF('Defrost VRV'!G80&lt;1,SUM(I57:I64),SUM(I57:I64)/'Defrost VRV'!G80)</f>
        <v>0</v>
      </c>
      <c r="J65" s="862"/>
      <c r="K65" s="893"/>
      <c r="L65" s="893"/>
      <c r="M65" s="892">
        <f>SUM(M57:M64)</f>
        <v>0</v>
      </c>
      <c r="N65" s="893"/>
      <c r="O65" s="893"/>
      <c r="P65" s="892">
        <f>SUM(P57:P64)</f>
        <v>0</v>
      </c>
      <c r="Q65" s="893"/>
      <c r="R65" s="893"/>
      <c r="S65" s="892">
        <f>SUM(S57:S64)</f>
        <v>0</v>
      </c>
      <c r="T65" s="895"/>
      <c r="U65" s="897"/>
      <c r="V65" s="914">
        <f>IF(OR('2-Dati generali-Cond. utilizzo'!C42=3,'2-Dati generali-Cond. utilizzo'!C42=4),SUM(V57:V64),SUM(V57:V64)/'Defrost VRV'!I80)</f>
        <v>0</v>
      </c>
      <c r="X65" s="460"/>
    </row>
    <row r="66" spans="1:24" ht="6" customHeight="1" thickBot="1" x14ac:dyDescent="0.3">
      <c r="A66" s="802"/>
      <c r="E66" s="857"/>
      <c r="F66" s="857"/>
      <c r="G66" s="857"/>
      <c r="H66" s="858"/>
      <c r="I66" s="857"/>
      <c r="J66" s="857"/>
      <c r="K66" s="899"/>
      <c r="L66" s="899"/>
      <c r="M66" s="899"/>
      <c r="N66" s="899"/>
      <c r="O66" s="899"/>
      <c r="P66" s="899"/>
      <c r="Q66" s="899"/>
      <c r="R66" s="899"/>
      <c r="S66" s="899"/>
      <c r="T66" s="900"/>
      <c r="U66" s="899"/>
      <c r="V66" s="915"/>
      <c r="X66" s="460"/>
    </row>
    <row r="67" spans="1:24" ht="32.1" customHeight="1" thickBot="1" x14ac:dyDescent="0.3">
      <c r="A67" s="808" t="s">
        <v>565</v>
      </c>
      <c r="C67" s="803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93"/>
      <c r="X67" s="460"/>
    </row>
    <row r="68" spans="1:24" ht="26.25" thickBot="1" x14ac:dyDescent="0.3">
      <c r="A68" s="864" t="s">
        <v>353</v>
      </c>
      <c r="C68" s="865" t="str">
        <f>IF('2-Dati generali-Cond. utilizzo'!$C$43=4,"",INDEX(Tabella_tipo_gas,'2-Dati generali-Cond. utilizzo'!$C$43,2))</f>
        <v>m3/h</v>
      </c>
      <c r="E68" s="1164">
        <f>IF('2-Dati generali-Cond. utilizzo'!$C$43=1,(SUMIF('Rendimenti e consumi ghp'!$A$25:$A$31,C$81,'Rendimenti e consumi ghp'!$J$25:$J$31)*E$10/'Dati x formule'!$D$4*'1-Ore funzionamento'!$AF7),IF('2-Dati generali-Cond. utilizzo'!$C$43=2,(SUMIF('Rendimenti e consumi ghp'!$A$25:$A$31,C$81,'Rendimenti e consumi ghp'!$J$25:$J$31)*E$10/'Dati x formule'!$D$5*'1-Ore funzionamento'!$AF7),(SUMIF('Rendimenti e consumi ghp'!$A$25:$A$31,C$81,'Rendimenti e consumi ghp'!$J$25:$J$31)*E$10/'Dati x formule'!$D$6*'1-Ore funzionamento'!$AF7)))</f>
        <v>0</v>
      </c>
      <c r="F68" s="1174">
        <f>IF('2-Dati generali-Cond. utilizzo'!$C$43=1,(SUMIF('Rendimenti e consumi ghp'!$A$25:$A$31,D$81,'Rendimenti e consumi ghp'!$J$25:$J$31)*F$10/'Dati x formule'!$D$4*'1-Ore funzionamento'!$AF7),IF('2-Dati generali-Cond. utilizzo'!$C$43=2,(SUMIF('Rendimenti e consumi ghp'!$A$25:$A$31,D$81,'Rendimenti e consumi ghp'!$J$25:$J$31)*F$10/'Dati x formule'!$D$5*'1-Ore funzionamento'!$AF7),(SUMIF('Rendimenti e consumi ghp'!$A$25:$A$31,D$81,'Rendimenti e consumi ghp'!$J$25:$J$31)*F$10/'Dati x formule'!$D$6*'1-Ore funzionamento'!$AF7)))</f>
        <v>0</v>
      </c>
      <c r="G68" s="1174">
        <f>IF('2-Dati generali-Cond. utilizzo'!$C$43=1,(SUMIF('Rendimenti e consumi ghp'!$A$25:$A$31,E$81,'Rendimenti e consumi ghp'!$J$25:$J$31)*G$10/'Dati x formule'!$D$4*'1-Ore funzionamento'!$AF7),IF('2-Dati generali-Cond. utilizzo'!$C$43=2,(SUMIF('Rendimenti e consumi ghp'!$A$25:$A$31,E$81,'Rendimenti e consumi ghp'!$J$25:$J$31)*G$10/'Dati x formule'!$D$5*'1-Ore funzionamento'!$AF7),(SUMIF('Rendimenti e consumi ghp'!$A$25:$A$31,E$81,'Rendimenti e consumi ghp'!$J$25:$J$31)*G$10/'Dati x formule'!$D$6*'1-Ore funzionamento'!$AF7)))</f>
        <v>0</v>
      </c>
      <c r="H68" s="862"/>
      <c r="I68" s="907">
        <f>SUM(E68:G68)</f>
        <v>0</v>
      </c>
      <c r="J68" s="862"/>
      <c r="K68" s="868"/>
      <c r="L68" s="869"/>
      <c r="M68" s="870">
        <f>IF('2-Dati generali-Cond. utilizzo'!$C$42=1,0,IF('2-Dati generali-Cond. utilizzo'!$C$43=1,K68/'Dati x formule'!$D$4*'1-Ore funzionamento'!$AF7*$K$10,IF('2-Dati generali-Cond. utilizzo'!$C$43=2,K68/'Dati x formule'!$D$5*'1-Ore funzionamento'!$AF7*$K$10,K68/'Dati x formule'!$D$6*'1-Ore funzionamento'!$AF7*$K$10)))</f>
        <v>0</v>
      </c>
      <c r="N68" s="868"/>
      <c r="O68" s="869"/>
      <c r="P68" s="870">
        <f>IF('2-Dati generali-Cond. utilizzo'!$C$42=1,0,IF('2-Dati generali-Cond. utilizzo'!$C$43=1,N68/'Dati x formule'!$D$4*'1-Ore funzionamento'!$AF7*$N$10,IF('2-Dati generali-Cond. utilizzo'!$C$43=2,N68/'Dati x formule'!$D$5*'1-Ore funzionamento'!$AF7*$N$10,N68/'Dati x formule'!$D$6*'1-Ore funzionamento'!$AF7*$N$10)))</f>
        <v>0</v>
      </c>
      <c r="Q68" s="868"/>
      <c r="R68" s="869"/>
      <c r="S68" s="870">
        <f>IF('2-Dati generali-Cond. utilizzo'!$C$42=1,0,IF('2-Dati generali-Cond. utilizzo'!$C$43=1,Q68/'Dati x formule'!$D$4*'1-Ore funzionamento'!$AF7*$Q$10,IF('2-Dati generali-Cond. utilizzo'!$C$43=2,Q68/'Dati x formule'!$D$5*'1-Ore funzionamento'!$AF7*$Q$10,Q68/'Dati x formule'!$D$6*'1-Ore funzionamento'!$AF7*$Q$10)))</f>
        <v>0</v>
      </c>
      <c r="T68" s="862"/>
      <c r="U68" s="871">
        <f>IF('2-Dati generali-Cond. utilizzo'!$C$48=1,SUM(K68*$K$10,N68*$N$10,Q68*$Q$10),SUM(L68*$K$10,O68*$N$10,R68*$Q$10))</f>
        <v>0</v>
      </c>
      <c r="V68" s="872">
        <f t="shared" ref="V68:V75" si="5">SUM(M68,P68,S68)</f>
        <v>0</v>
      </c>
      <c r="X68" s="460"/>
    </row>
    <row r="69" spans="1:24" ht="25.5" hidden="1" x14ac:dyDescent="0.25">
      <c r="A69" s="873" t="s">
        <v>425</v>
      </c>
      <c r="C69" s="844" t="str">
        <f>IF('2-Dati generali-Cond. utilizzo'!$C$43=4,"",INDEX(Tabella_tipo_gas,'2-Dati generali-Cond. utilizzo'!$C$43,2))</f>
        <v>m3/h</v>
      </c>
      <c r="E69" s="881">
        <f>IF('2-Dati generali-Cond. utilizzo'!$C$43=1,(SUMIF('Rendimenti e consumi ghp'!$A$32:$A$38,C$81,'Rendimenti e consumi ghp'!$J$32:$J$38)*E$10/'Dati x formule'!$D$4*'1-Ore funzionamento'!$AF8),IF('2-Dati generali-Cond. utilizzo'!$C$43=2,(SUMIF('Rendimenti e consumi ghp'!$A$32:$A$38,C$81,'Rendimenti e consumi ghp'!$J$32:$J$38)*E$10/'Dati x formule'!$D$5*'1-Ore funzionamento'!$AF8),(SUMIF('Rendimenti e consumi ghp'!$A$32:$A$38,C$81,'Rendimenti e consumi ghp'!$J$32:$J$38)*E$10/'Dati x formule'!$D$6*'1-Ore funzionamento'!$AF8)))</f>
        <v>0</v>
      </c>
      <c r="F69" s="1175">
        <f>IF('2-Dati generali-Cond. utilizzo'!$C$43=1,(SUMIF('Rendimenti e consumi ghp'!$A$32:$A$38,D$81,'Rendimenti e consumi ghp'!$J$32:$J$38)*F$10/'Dati x formule'!$D$4*'1-Ore funzionamento'!$AF8),IF('2-Dati generali-Cond. utilizzo'!$C$43=2,(SUMIF('Rendimenti e consumi ghp'!$A$32:$A$38,D$81,'Rendimenti e consumi ghp'!$J$32:$J$38)*F$10/'Dati x formule'!$D$5*'1-Ore funzionamento'!$AF8),(SUMIF('Rendimenti e consumi ghp'!$A$32:$A$38,D$81,'Rendimenti e consumi ghp'!$J$32:$J$38)*F$10/'Dati x formule'!$D$6*'1-Ore funzionamento'!$AF8)))</f>
        <v>0</v>
      </c>
      <c r="G69" s="1175">
        <f>IF('2-Dati generali-Cond. utilizzo'!$C$43=1,(SUMIF('Rendimenti e consumi ghp'!$A$32:$A$38,E$81,'Rendimenti e consumi ghp'!$J$32:$J$38)*G$10/'Dati x formule'!$D$4*'1-Ore funzionamento'!$AF8),IF('2-Dati generali-Cond. utilizzo'!$C$43=2,(SUMIF('Rendimenti e consumi ghp'!$A$32:$A$38,E$81,'Rendimenti e consumi ghp'!$J$32:$J$38)*G$10/'Dati x formule'!$D$5*'1-Ore funzionamento'!$AF8),(SUMIF('Rendimenti e consumi ghp'!$A$32:$A$38,E$81,'Rendimenti e consumi ghp'!$J$32:$J$38)*G$10/'Dati x formule'!$D$6*'1-Ore funzionamento'!$AF8)))</f>
        <v>0</v>
      </c>
      <c r="H69" s="862"/>
      <c r="I69" s="908">
        <f t="shared" ref="I69:I75" si="6">SUM(E69:G69)</f>
        <v>0</v>
      </c>
      <c r="J69" s="862"/>
      <c r="K69" s="877">
        <f>$K$68*0.9</f>
        <v>0</v>
      </c>
      <c r="L69" s="878"/>
      <c r="M69" s="909">
        <f>IF('2-Dati generali-Cond. utilizzo'!$C$42=1,0,IF('2-Dati generali-Cond. utilizzo'!$C$43=1,K69/'Dati x formule'!$D$4*'1-Ore funzionamento'!$AF8*$K$10,IF('2-Dati generali-Cond. utilizzo'!$C$43=2,K69/'Dati x formule'!$D$5*'1-Ore funzionamento'!$AF8*$K$10,K69/'Dati x formule'!$D$6*'1-Ore funzionamento'!$AF8*$K$10)))</f>
        <v>0</v>
      </c>
      <c r="N69" s="877">
        <f>$N$68*0.9</f>
        <v>0</v>
      </c>
      <c r="O69" s="878"/>
      <c r="P69" s="909">
        <f>IF('2-Dati generali-Cond. utilizzo'!$C$42=1,0,IF('2-Dati generali-Cond. utilizzo'!$C$43=1,N69/'Dati x formule'!$D$4*'1-Ore funzionamento'!$AF8*$N$10,IF('2-Dati generali-Cond. utilizzo'!$C$43=2,N69/'Dati x formule'!$D$5*'1-Ore funzionamento'!$AF8*$N$10,N69/'Dati x formule'!$D$6*'1-Ore funzionamento'!$AF8*$N$10)))</f>
        <v>0</v>
      </c>
      <c r="Q69" s="877">
        <f>$Q$68*0.9</f>
        <v>0</v>
      </c>
      <c r="R69" s="878"/>
      <c r="S69" s="879">
        <f>IF('2-Dati generali-Cond. utilizzo'!$C$42=1,0,IF('2-Dati generali-Cond. utilizzo'!$C$43=1,Q69/'Dati x formule'!$D$4*'1-Ore funzionamento'!$AF8*$Q$10,IF('2-Dati generali-Cond. utilizzo'!$C$43=2,Q69/'Dati x formule'!$D$5*'1-Ore funzionamento'!$AF8*$Q$10,Q69/'Dati x formule'!$D$6*'1-Ore funzionamento'!$AF8*$Q$10)))</f>
        <v>0</v>
      </c>
      <c r="T69" s="862"/>
      <c r="U69" s="877">
        <f>IF('2-Dati generali-Cond. utilizzo'!$C$48=1,SUM(K69*$K$10,N69*$N$10,Q69*$Q$10),SUM(L69*$K$10,O69*$N$10,R69*$Q$10))</f>
        <v>0</v>
      </c>
      <c r="V69" s="880">
        <f t="shared" si="5"/>
        <v>0</v>
      </c>
      <c r="X69" s="460"/>
    </row>
    <row r="70" spans="1:24" ht="25.5" hidden="1" x14ac:dyDescent="0.25">
      <c r="A70" s="873" t="s">
        <v>426</v>
      </c>
      <c r="C70" s="844" t="str">
        <f>IF('2-Dati generali-Cond. utilizzo'!$C$43=4,"",INDEX(Tabella_tipo_gas,'2-Dati generali-Cond. utilizzo'!$C$43,2))</f>
        <v>m3/h</v>
      </c>
      <c r="E70" s="881">
        <f>IF('2-Dati generali-Cond. utilizzo'!$C$43=1,(SUMIF('Rendimenti e consumi ghp'!$A$39:$A$45,C$81,'Rendimenti e consumi ghp'!$J$39:$J$45)*E$10/'Dati x formule'!$D$4*'1-Ore funzionamento'!$AF9),IF('2-Dati generali-Cond. utilizzo'!$C$43=2,(SUMIF('Rendimenti e consumi ghp'!$A$39:$A$45,C$81,'Rendimenti e consumi ghp'!$J$39:$J$45)*E$10/'Dati x formule'!$D$5*'1-Ore funzionamento'!$AF9),(SUMIF('Rendimenti e consumi ghp'!$A$39:$A$45,C$81,'Rendimenti e consumi ghp'!$J$39:$J$45)*E$10/'Dati x formule'!$D$6*'1-Ore funzionamento'!$AF9)))</f>
        <v>0</v>
      </c>
      <c r="F70" s="1175">
        <f>IF('2-Dati generali-Cond. utilizzo'!$C$43=1,(SUMIF('Rendimenti e consumi ghp'!$A$39:$A$45,D$81,'Rendimenti e consumi ghp'!$J$39:$J$45)*F$10/'Dati x formule'!$D$4*'1-Ore funzionamento'!$AF9),IF('2-Dati generali-Cond. utilizzo'!$C$43=2,(SUMIF('Rendimenti e consumi ghp'!$A$39:$A$45,D$81,'Rendimenti e consumi ghp'!$J$39:$J$45)*F$10/'Dati x formule'!$D$5*'1-Ore funzionamento'!$AF9),(SUMIF('Rendimenti e consumi ghp'!$A$39:$A$45,D$81,'Rendimenti e consumi ghp'!$J$39:$J$45)*F$10/'Dati x formule'!$D$6*'1-Ore funzionamento'!$AF9)))</f>
        <v>0</v>
      </c>
      <c r="G70" s="1175">
        <f>IF('2-Dati generali-Cond. utilizzo'!$C$43=1,(SUMIF('Rendimenti e consumi ghp'!$A$39:$A$45,E$81,'Rendimenti e consumi ghp'!$J$39:$J$45)*G$10/'Dati x formule'!$D$4*'1-Ore funzionamento'!$AF9),IF('2-Dati generali-Cond. utilizzo'!$C$43=2,(SUMIF('Rendimenti e consumi ghp'!$A$39:$A$45,E$81,'Rendimenti e consumi ghp'!$J$39:$J$45)*G$10/'Dati x formule'!$D$5*'1-Ore funzionamento'!$AF9),(SUMIF('Rendimenti e consumi ghp'!$A$39:$A$45,E$81,'Rendimenti e consumi ghp'!$J$39:$J$45)*G$10/'Dati x formule'!$D$6*'1-Ore funzionamento'!$AF9)))</f>
        <v>0</v>
      </c>
      <c r="H70" s="862"/>
      <c r="I70" s="908">
        <f t="shared" si="6"/>
        <v>0</v>
      </c>
      <c r="J70" s="862"/>
      <c r="K70" s="881">
        <f>$K$68*0.8</f>
        <v>0</v>
      </c>
      <c r="L70" s="882"/>
      <c r="M70" s="910">
        <f>IF('2-Dati generali-Cond. utilizzo'!$C$42=1,0,IF('2-Dati generali-Cond. utilizzo'!$C$43=1,K70/'Dati x formule'!$D$4*'1-Ore funzionamento'!$AF9*$K$10,IF('2-Dati generali-Cond. utilizzo'!$C$43=2,K70/'Dati x formule'!$D$5*'1-Ore funzionamento'!$AF9*$K$10,K70/'Dati x formule'!$D$6*'1-Ore funzionamento'!$AF9*$K$10)))</f>
        <v>0</v>
      </c>
      <c r="N70" s="881">
        <f>$N$68*0.8</f>
        <v>0</v>
      </c>
      <c r="O70" s="882"/>
      <c r="P70" s="910">
        <f>IF('2-Dati generali-Cond. utilizzo'!$C$42=1,0,IF('2-Dati generali-Cond. utilizzo'!$C$43=1,N70/'Dati x formule'!$D$4*'1-Ore funzionamento'!$AF9*$N$10,IF('2-Dati generali-Cond. utilizzo'!$C$43=2,N70/'Dati x formule'!$D$5*'1-Ore funzionamento'!$AF9*$N$10,N70/'Dati x formule'!$D$6*'1-Ore funzionamento'!$AF9*$N$10)))</f>
        <v>0</v>
      </c>
      <c r="Q70" s="881">
        <f>$Q$68*0.8</f>
        <v>0</v>
      </c>
      <c r="R70" s="882"/>
      <c r="S70" s="883">
        <f>IF('2-Dati generali-Cond. utilizzo'!$C$42=1,0,IF('2-Dati generali-Cond. utilizzo'!$C$43=1,Q70/'Dati x formule'!$D$4*'1-Ore funzionamento'!$AF9*$Q$10,IF('2-Dati generali-Cond. utilizzo'!$C$43=2,Q70/'Dati x formule'!$D$5*'1-Ore funzionamento'!$AF9*$Q$10,Q70/'Dati x formule'!$D$6*'1-Ore funzionamento'!$AF9*$Q$10)))</f>
        <v>0</v>
      </c>
      <c r="T70" s="862"/>
      <c r="U70" s="881">
        <f>IF('2-Dati generali-Cond. utilizzo'!$C$48=1,SUM(K70*$K$10,N70*$N$10,Q70*$Q$10),SUM(L70*$K$10,O70*$N$10,R70*$Q$10))</f>
        <v>0</v>
      </c>
      <c r="V70" s="884">
        <f t="shared" si="5"/>
        <v>0</v>
      </c>
      <c r="X70" s="460"/>
    </row>
    <row r="71" spans="1:24" ht="25.5" hidden="1" x14ac:dyDescent="0.25">
      <c r="A71" s="873" t="s">
        <v>427</v>
      </c>
      <c r="C71" s="844" t="str">
        <f>IF('2-Dati generali-Cond. utilizzo'!$C$43=4,"",INDEX(Tabella_tipo_gas,'2-Dati generali-Cond. utilizzo'!$C$43,2))</f>
        <v>m3/h</v>
      </c>
      <c r="E71" s="881">
        <f>IF('2-Dati generali-Cond. utilizzo'!$C$43=1,(SUMIF('Rendimenti e consumi ghp'!$A$46:$A$52,C$81,'Rendimenti e consumi ghp'!$J$46:$J$52)*E$10/'Dati x formule'!$D$4*'1-Ore funzionamento'!$AF10),IF('2-Dati generali-Cond. utilizzo'!$C$43=2,(SUMIF('Rendimenti e consumi ghp'!$A$46:$A$52,C$81,'Rendimenti e consumi ghp'!$J$46:$J$52)*E$10/'Dati x formule'!$D$5*'1-Ore funzionamento'!$AF10),(SUMIF('Rendimenti e consumi ghp'!$A$46:$A$52,C$81,'Rendimenti e consumi ghp'!$J$46:$J$52)*E$10/'Dati x formule'!$D$6*'1-Ore funzionamento'!$AF10)))</f>
        <v>0</v>
      </c>
      <c r="F71" s="1175">
        <f>IF('2-Dati generali-Cond. utilizzo'!$C$43=1,(SUMIF('Rendimenti e consumi ghp'!$A$46:$A$52,D$81,'Rendimenti e consumi ghp'!$J$46:$J$52)*F$10/'Dati x formule'!$D$4*'1-Ore funzionamento'!$AF10),IF('2-Dati generali-Cond. utilizzo'!$C$43=2,(SUMIF('Rendimenti e consumi ghp'!$A$46:$A$52,D$81,'Rendimenti e consumi ghp'!$J$46:$J$52)*F$10/'Dati x formule'!$D$5*'1-Ore funzionamento'!$AF10),(SUMIF('Rendimenti e consumi ghp'!$A$46:$A$52,D$81,'Rendimenti e consumi ghp'!$J$46:$J$52)*F$10/'Dati x formule'!$D$6*'1-Ore funzionamento'!$AF10)))</f>
        <v>0</v>
      </c>
      <c r="G71" s="1175">
        <f>IF('2-Dati generali-Cond. utilizzo'!$C$43=1,(SUMIF('Rendimenti e consumi ghp'!$A$46:$A$52,E$81,'Rendimenti e consumi ghp'!$J$46:$J$52)*G$10/'Dati x formule'!$D$4*'1-Ore funzionamento'!$AF10),IF('2-Dati generali-Cond. utilizzo'!$C$43=2,(SUMIF('Rendimenti e consumi ghp'!$A$46:$A$52,E$81,'Rendimenti e consumi ghp'!$J$46:$J$52)*G$10/'Dati x formule'!$D$5*'1-Ore funzionamento'!$AF10),(SUMIF('Rendimenti e consumi ghp'!$A$46:$A$52,E$81,'Rendimenti e consumi ghp'!$J$46:$J$52)*G$10/'Dati x formule'!$D$6*'1-Ore funzionamento'!$AF10)))</f>
        <v>0</v>
      </c>
      <c r="H71" s="862"/>
      <c r="I71" s="908">
        <f t="shared" si="6"/>
        <v>0</v>
      </c>
      <c r="J71" s="862"/>
      <c r="K71" s="881">
        <f>$K$68*0.7</f>
        <v>0</v>
      </c>
      <c r="L71" s="882"/>
      <c r="M71" s="910">
        <f>IF('2-Dati generali-Cond. utilizzo'!$C$42=1,0,IF('2-Dati generali-Cond. utilizzo'!$C$43=1,K71/'Dati x formule'!$D$4*'1-Ore funzionamento'!$AF10*$K$10,IF('2-Dati generali-Cond. utilizzo'!$C$43=2,K71/'Dati x formule'!$D$5*'1-Ore funzionamento'!$AF10*$K$10,K71/'Dati x formule'!$D$6*'1-Ore funzionamento'!$AF10*$K$10)))</f>
        <v>0</v>
      </c>
      <c r="N71" s="881">
        <f>$N$68*0.7</f>
        <v>0</v>
      </c>
      <c r="O71" s="882"/>
      <c r="P71" s="910">
        <f>IF('2-Dati generali-Cond. utilizzo'!$C$42=1,0,IF('2-Dati generali-Cond. utilizzo'!$C$43=1,N71/'Dati x formule'!$D$4*'1-Ore funzionamento'!$AF10*$N$10,IF('2-Dati generali-Cond. utilizzo'!$C$43=2,N71/'Dati x formule'!$D$5*'1-Ore funzionamento'!$AF10*$N$10,N71/'Dati x formule'!$D$6*'1-Ore funzionamento'!$AF10*$N$10)))</f>
        <v>0</v>
      </c>
      <c r="Q71" s="881">
        <f>$Q$68*0.7</f>
        <v>0</v>
      </c>
      <c r="R71" s="882"/>
      <c r="S71" s="883">
        <f>IF('2-Dati generali-Cond. utilizzo'!$C$42=1,0,IF('2-Dati generali-Cond. utilizzo'!$C$43=1,Q71/'Dati x formule'!$D$4*'1-Ore funzionamento'!$AF10*$Q$10,IF('2-Dati generali-Cond. utilizzo'!$C$43=2,Q71/'Dati x formule'!$D$5*'1-Ore funzionamento'!$AF10*$Q$10,Q71/'Dati x formule'!$D$6*'1-Ore funzionamento'!$AF10*$Q$10)))</f>
        <v>0</v>
      </c>
      <c r="T71" s="862"/>
      <c r="U71" s="881">
        <f>IF('2-Dati generali-Cond. utilizzo'!$C$48=1,SUM(K71*$K$10,N71*$N$10,Q71*$Q$10),SUM(L71*$K$10,O71*$N$10,R71*$Q$10))</f>
        <v>0</v>
      </c>
      <c r="V71" s="884">
        <f t="shared" si="5"/>
        <v>0</v>
      </c>
      <c r="X71" s="460"/>
    </row>
    <row r="72" spans="1:24" ht="25.5" hidden="1" x14ac:dyDescent="0.25">
      <c r="A72" s="873" t="s">
        <v>428</v>
      </c>
      <c r="C72" s="844" t="str">
        <f>IF('2-Dati generali-Cond. utilizzo'!$C$43=4,"",INDEX(Tabella_tipo_gas,'2-Dati generali-Cond. utilizzo'!$C$43,2))</f>
        <v>m3/h</v>
      </c>
      <c r="E72" s="881">
        <f>IF('2-Dati generali-Cond. utilizzo'!$C$43=1,(SUMIF('Rendimenti e consumi ghp'!$A$53:$A$59,C$81,'Rendimenti e consumi ghp'!$J$53:$J$59)*E$10/'Dati x formule'!$D$4*'1-Ore funzionamento'!$AF11),IF('2-Dati generali-Cond. utilizzo'!$C$43=2,(SUMIF('Rendimenti e consumi ghp'!$A$53:$A$59,C$81,'Rendimenti e consumi ghp'!$J$53:$J$59)*E$10/'Dati x formule'!$D$5*'1-Ore funzionamento'!$AF11),(SUMIF('Rendimenti e consumi ghp'!$A$53:$A$59,C$81,'Rendimenti e consumi ghp'!$J$53:$J$59)*E$10/'Dati x formule'!$D$6*'1-Ore funzionamento'!$AF11)))</f>
        <v>0</v>
      </c>
      <c r="F72" s="1175">
        <f>IF('2-Dati generali-Cond. utilizzo'!$C$43=1,(SUMIF('Rendimenti e consumi ghp'!$A$53:$A$59,D$81,'Rendimenti e consumi ghp'!$J$53:$J$59)*F$10/'Dati x formule'!$D$4*'1-Ore funzionamento'!$AF11),IF('2-Dati generali-Cond. utilizzo'!$C$43=2,(SUMIF('Rendimenti e consumi ghp'!$A$53:$A$59,D$81,'Rendimenti e consumi ghp'!$J$53:$J$59)*F$10/'Dati x formule'!$D$5*'1-Ore funzionamento'!$AF11),(SUMIF('Rendimenti e consumi ghp'!$A$53:$A$59,D$81,'Rendimenti e consumi ghp'!$J$53:$J$59)*F$10/'Dati x formule'!$D$6*'1-Ore funzionamento'!$AF11)))</f>
        <v>0</v>
      </c>
      <c r="G72" s="1175">
        <f>IF('2-Dati generali-Cond. utilizzo'!$C$43=1,(SUMIF('Rendimenti e consumi ghp'!$A$53:$A$59,E$81,'Rendimenti e consumi ghp'!$J$53:$J$59)*G$10/'Dati x formule'!$D$4*'1-Ore funzionamento'!$AF11),IF('2-Dati generali-Cond. utilizzo'!$C$43=2,(SUMIF('Rendimenti e consumi ghp'!$A$53:$A$59,E$81,'Rendimenti e consumi ghp'!$J$53:$J$59)*G$10/'Dati x formule'!$D$5*'1-Ore funzionamento'!$AF11),(SUMIF('Rendimenti e consumi ghp'!$A$53:$A$59,E$81,'Rendimenti e consumi ghp'!$J$53:$J$59)*G$10/'Dati x formule'!$D$6*'1-Ore funzionamento'!$AF11)))</f>
        <v>0</v>
      </c>
      <c r="H72" s="862"/>
      <c r="I72" s="908">
        <f t="shared" si="6"/>
        <v>0</v>
      </c>
      <c r="J72" s="862"/>
      <c r="K72" s="881">
        <f>$K$68*0.6</f>
        <v>0</v>
      </c>
      <c r="L72" s="882"/>
      <c r="M72" s="910">
        <f>IF('2-Dati generali-Cond. utilizzo'!$C$42=1,0,IF('2-Dati generali-Cond. utilizzo'!$C$43=1,K72/'Dati x formule'!$D$4*'1-Ore funzionamento'!$AF11*$K$10,IF('2-Dati generali-Cond. utilizzo'!$C$43=2,K72/'Dati x formule'!$D$5*'1-Ore funzionamento'!$AF11*$K$10,K72/'Dati x formule'!$D$6*'1-Ore funzionamento'!$AF11*$K$10)))</f>
        <v>0</v>
      </c>
      <c r="N72" s="881">
        <f>$N$68*0.6</f>
        <v>0</v>
      </c>
      <c r="O72" s="882"/>
      <c r="P72" s="910">
        <f>IF('2-Dati generali-Cond. utilizzo'!$C$42=1,0,IF('2-Dati generali-Cond. utilizzo'!$C$43=1,N72/'Dati x formule'!$D$4*'1-Ore funzionamento'!$AF11*$N$10,IF('2-Dati generali-Cond. utilizzo'!$C$43=2,N72/'Dati x formule'!$D$5*'1-Ore funzionamento'!$AF11*$N$10,N72/'Dati x formule'!$D$6*'1-Ore funzionamento'!$AF11*$N$10)))</f>
        <v>0</v>
      </c>
      <c r="Q72" s="881">
        <f>$Q$68*0.6</f>
        <v>0</v>
      </c>
      <c r="R72" s="882"/>
      <c r="S72" s="883">
        <f>IF('2-Dati generali-Cond. utilizzo'!$C$42=1,0,IF('2-Dati generali-Cond. utilizzo'!$C$43=1,Q72/'Dati x formule'!$D$4*'1-Ore funzionamento'!$AF11*$Q$10,IF('2-Dati generali-Cond. utilizzo'!$C$43=2,Q72/'Dati x formule'!$D$5*'1-Ore funzionamento'!$AF11*$Q$10,Q72/'Dati x formule'!$D$6*'1-Ore funzionamento'!$AF11*$Q$10)))</f>
        <v>0</v>
      </c>
      <c r="T72" s="862"/>
      <c r="U72" s="881">
        <f>IF('2-Dati generali-Cond. utilizzo'!$C$48=1,SUM(K72*$K$10,N72*$N$10,Q72*$Q$10),SUM(L72*$K$10,O72*$N$10,R72*$Q$10))</f>
        <v>0</v>
      </c>
      <c r="V72" s="884">
        <f t="shared" si="5"/>
        <v>0</v>
      </c>
      <c r="X72" s="460"/>
    </row>
    <row r="73" spans="1:24" ht="25.5" hidden="1" x14ac:dyDescent="0.25">
      <c r="A73" s="873" t="s">
        <v>429</v>
      </c>
      <c r="C73" s="844" t="str">
        <f>IF('2-Dati generali-Cond. utilizzo'!$C$43=4,"",INDEX(Tabella_tipo_gas,'2-Dati generali-Cond. utilizzo'!$C$43,2))</f>
        <v>m3/h</v>
      </c>
      <c r="E73" s="881">
        <f>IF('2-Dati generali-Cond. utilizzo'!$C$43=1,(SUMIF('Rendimenti e consumi ghp'!$A$60:$A$66,C$81,'Rendimenti e consumi ghp'!$J$60:$J$66)*E$10/'Dati x formule'!$D$4*'1-Ore funzionamento'!$AF12),IF('2-Dati generali-Cond. utilizzo'!$C$43=2,(SUMIF('Rendimenti e consumi ghp'!$A$60:$A$66,C$81,'Rendimenti e consumi ghp'!$J$60:$J$66)*E$10/'Dati x formule'!$D$5*'1-Ore funzionamento'!$AF12),(SUMIF('Rendimenti e consumi ghp'!$A$60:$A$66,C$81,'Rendimenti e consumi ghp'!$J$60:$J$66)*E$10/'Dati x formule'!$D$6*'1-Ore funzionamento'!$AF12)))</f>
        <v>0</v>
      </c>
      <c r="F73" s="1175">
        <f>IF('2-Dati generali-Cond. utilizzo'!$C$43=1,(SUMIF('Rendimenti e consumi ghp'!$A$60:$A$66,D$81,'Rendimenti e consumi ghp'!$J$60:$J$66)*F$10/'Dati x formule'!$D$4*'1-Ore funzionamento'!$AF12),IF('2-Dati generali-Cond. utilizzo'!$C$43=2,(SUMIF('Rendimenti e consumi ghp'!$A$60:$A$66,D$81,'Rendimenti e consumi ghp'!$J$60:$J$66)*F$10/'Dati x formule'!$D$5*'1-Ore funzionamento'!$AF12),(SUMIF('Rendimenti e consumi ghp'!$A$60:$A$66,D$81,'Rendimenti e consumi ghp'!$J$60:$J$66)*F$10/'Dati x formule'!$D$6*'1-Ore funzionamento'!$AF12)))</f>
        <v>0</v>
      </c>
      <c r="G73" s="1175">
        <f>IF('2-Dati generali-Cond. utilizzo'!$C$43=1,(SUMIF('Rendimenti e consumi ghp'!$A$60:$A$66,E$81,'Rendimenti e consumi ghp'!$J$60:$J$66)*G$10/'Dati x formule'!$D$4*'1-Ore funzionamento'!$AF12),IF('2-Dati generali-Cond. utilizzo'!$C$43=2,(SUMIF('Rendimenti e consumi ghp'!$A$60:$A$66,E$81,'Rendimenti e consumi ghp'!$J$60:$J$66)*G$10/'Dati x formule'!$D$5*'1-Ore funzionamento'!$AF12),(SUMIF('Rendimenti e consumi ghp'!$A$60:$A$66,E$81,'Rendimenti e consumi ghp'!$J$60:$J$66)*G$10/'Dati x formule'!$D$6*'1-Ore funzionamento'!$AF12)))</f>
        <v>0</v>
      </c>
      <c r="H73" s="862"/>
      <c r="I73" s="908">
        <f t="shared" si="6"/>
        <v>0</v>
      </c>
      <c r="J73" s="862"/>
      <c r="K73" s="881">
        <f>$K$68*0.5</f>
        <v>0</v>
      </c>
      <c r="L73" s="882"/>
      <c r="M73" s="910">
        <f>IF('2-Dati generali-Cond. utilizzo'!$C$42=1,0,IF('2-Dati generali-Cond. utilizzo'!$C$43=1,K73/'Dati x formule'!$D$4*'1-Ore funzionamento'!$AF12*$K$10,IF('2-Dati generali-Cond. utilizzo'!$C$43=2,K73/'Dati x formule'!$D$5*'1-Ore funzionamento'!$AF12*$K$10,K73/'Dati x formule'!$D$6*'1-Ore funzionamento'!$AF12*$K$10)))</f>
        <v>0</v>
      </c>
      <c r="N73" s="881">
        <f>$N$68*0.5</f>
        <v>0</v>
      </c>
      <c r="O73" s="882"/>
      <c r="P73" s="910">
        <f>IF('2-Dati generali-Cond. utilizzo'!$C$42=1,0,IF('2-Dati generali-Cond. utilizzo'!$C$43=1,N73/'Dati x formule'!$D$4*'1-Ore funzionamento'!$AF12*$N$10,IF('2-Dati generali-Cond. utilizzo'!$C$43=2,N73/'Dati x formule'!$D$5*'1-Ore funzionamento'!$AF12*$N$10,N73/'Dati x formule'!$D$6*'1-Ore funzionamento'!$AF12*$N$10)))</f>
        <v>0</v>
      </c>
      <c r="Q73" s="881">
        <f>$Q$68*0.5</f>
        <v>0</v>
      </c>
      <c r="R73" s="882"/>
      <c r="S73" s="883">
        <f>IF('2-Dati generali-Cond. utilizzo'!$C$42=1,0,IF('2-Dati generali-Cond. utilizzo'!$C$43=1,Q73/'Dati x formule'!$D$4*'1-Ore funzionamento'!$AF12*$Q$10,IF('2-Dati generali-Cond. utilizzo'!$C$43=2,Q73/'Dati x formule'!$D$5*'1-Ore funzionamento'!$AF12*$Q$10,Q73/'Dati x formule'!$D$6*'1-Ore funzionamento'!$AF12*$Q$10)))</f>
        <v>0</v>
      </c>
      <c r="T73" s="862"/>
      <c r="U73" s="881">
        <f>IF('2-Dati generali-Cond. utilizzo'!$C$48=1,SUM(K73*$K$10,N73*$N$10,Q73*$Q$10),SUM(L73*$K$10,O73*$N$10,R73*$Q$10))</f>
        <v>0</v>
      </c>
      <c r="V73" s="884">
        <f t="shared" si="5"/>
        <v>0</v>
      </c>
      <c r="X73" s="460"/>
    </row>
    <row r="74" spans="1:24" ht="25.5" hidden="1" x14ac:dyDescent="0.25">
      <c r="A74" s="873" t="s">
        <v>430</v>
      </c>
      <c r="C74" s="844" t="str">
        <f>IF('2-Dati generali-Cond. utilizzo'!$C$43=4,"",INDEX(Tabella_tipo_gas,'2-Dati generali-Cond. utilizzo'!$C$43,2))</f>
        <v>m3/h</v>
      </c>
      <c r="E74" s="881">
        <f>IF('2-Dati generali-Cond. utilizzo'!$C$43=1,(SUMIF('Rendimenti e consumi ghp'!$A$67:$A$73,C$81,'Rendimenti e consumi ghp'!$J$67:$J$73)*E$10/'Dati x formule'!$D$4*'1-Ore funzionamento'!$AF13),IF('2-Dati generali-Cond. utilizzo'!$C$43=2,(SUMIF('Rendimenti e consumi ghp'!$A$67:$A$73,C$81,'Rendimenti e consumi ghp'!$J$67:$J$73)*E$10/'Dati x formule'!$D$5*'1-Ore funzionamento'!$AF13),(SUMIF('Rendimenti e consumi ghp'!$A$67:$A$73,C$81,'Rendimenti e consumi ghp'!$J$67:$J$73)*E$10/'Dati x formule'!$D$6*'1-Ore funzionamento'!$AF13)))</f>
        <v>0</v>
      </c>
      <c r="F74" s="1175">
        <f>IF('2-Dati generali-Cond. utilizzo'!$C$43=1,(SUMIF('Rendimenti e consumi ghp'!$A$67:$A$73,D$81,'Rendimenti e consumi ghp'!$J$67:$J$73)*F$10/'Dati x formule'!$D$4*'1-Ore funzionamento'!$AF13),IF('2-Dati generali-Cond. utilizzo'!$C$43=2,(SUMIF('Rendimenti e consumi ghp'!$A$67:$A$73,D$81,'Rendimenti e consumi ghp'!$J$67:$J$73)*F$10/'Dati x formule'!$D$5*'1-Ore funzionamento'!$AF13),(SUMIF('Rendimenti e consumi ghp'!$A$67:$A$73,D$81,'Rendimenti e consumi ghp'!$J$67:$J$73)*F$10/'Dati x formule'!$D$6*'1-Ore funzionamento'!$AF13)))</f>
        <v>0</v>
      </c>
      <c r="G74" s="1175">
        <f>IF('2-Dati generali-Cond. utilizzo'!$C$43=1,(SUMIF('Rendimenti e consumi ghp'!$A$67:$A$73,E$81,'Rendimenti e consumi ghp'!$J$67:$J$73)*G$10/'Dati x formule'!$D$4*'1-Ore funzionamento'!$AF13),IF('2-Dati generali-Cond. utilizzo'!$C$43=2,(SUMIF('Rendimenti e consumi ghp'!$A$67:$A$73,E$81,'Rendimenti e consumi ghp'!$J$67:$J$73)*G$10/'Dati x formule'!$D$5*'1-Ore funzionamento'!$AF13),(SUMIF('Rendimenti e consumi ghp'!$A$67:$A$73,E$81,'Rendimenti e consumi ghp'!$J$67:$J$73)*G$10/'Dati x formule'!$D$6*'1-Ore funzionamento'!$AF13)))</f>
        <v>0</v>
      </c>
      <c r="H74" s="862"/>
      <c r="I74" s="908">
        <f t="shared" si="6"/>
        <v>0</v>
      </c>
      <c r="J74" s="862"/>
      <c r="K74" s="881">
        <f>$K$68*0.4</f>
        <v>0</v>
      </c>
      <c r="L74" s="882"/>
      <c r="M74" s="910">
        <f>IF('2-Dati generali-Cond. utilizzo'!$C$42=1,0,IF('2-Dati generali-Cond. utilizzo'!$C$43=1,K74/'Dati x formule'!$D$4*'1-Ore funzionamento'!$AF13*$K$10,IF('2-Dati generali-Cond. utilizzo'!$C$43=2,K74/'Dati x formule'!$D$5*'1-Ore funzionamento'!$AF13*$K$10,K74/'Dati x formule'!$D$6*'1-Ore funzionamento'!$AF13*$K$10)))</f>
        <v>0</v>
      </c>
      <c r="N74" s="881">
        <f>$N$68*0.4</f>
        <v>0</v>
      </c>
      <c r="O74" s="882"/>
      <c r="P74" s="910">
        <f>IF('2-Dati generali-Cond. utilizzo'!$C$42=1,0,IF('2-Dati generali-Cond. utilizzo'!$C$43=1,N74/'Dati x formule'!$D$4*'1-Ore funzionamento'!$AF13*$N$10,IF('2-Dati generali-Cond. utilizzo'!$C$43=2,N74/'Dati x formule'!$D$5*'1-Ore funzionamento'!$AF13*$N$10,N74/'Dati x formule'!$D$6*'1-Ore funzionamento'!$AF13*$N$10)))</f>
        <v>0</v>
      </c>
      <c r="Q74" s="881">
        <f>$Q$68*0.4</f>
        <v>0</v>
      </c>
      <c r="R74" s="882"/>
      <c r="S74" s="883">
        <f>IF('2-Dati generali-Cond. utilizzo'!$C$42=1,0,IF('2-Dati generali-Cond. utilizzo'!$C$43=1,Q74/'Dati x formule'!$D$4*'1-Ore funzionamento'!$AF13*$Q$10,IF('2-Dati generali-Cond. utilizzo'!$C$43=2,Q74/'Dati x formule'!$D$5*'1-Ore funzionamento'!$AF13*$Q$10,Q74/'Dati x formule'!$D$6*'1-Ore funzionamento'!$AF13*$Q$10)))</f>
        <v>0</v>
      </c>
      <c r="T74" s="862"/>
      <c r="U74" s="881">
        <f>IF('2-Dati generali-Cond. utilizzo'!$C$48=1,SUM(K74*$K$10,N74*$N$10,Q74*$Q$10),SUM(L74*$K$10,O74*$N$10,R74*$Q$10))</f>
        <v>0</v>
      </c>
      <c r="V74" s="884">
        <f t="shared" si="5"/>
        <v>0</v>
      </c>
      <c r="X74" s="460"/>
    </row>
    <row r="75" spans="1:24" ht="26.25" hidden="1" thickBot="1" x14ac:dyDescent="0.3">
      <c r="A75" s="885" t="s">
        <v>431</v>
      </c>
      <c r="C75" s="854" t="str">
        <f>IF('2-Dati generali-Cond. utilizzo'!$C$43=4,"",INDEX(Tabella_tipo_gas,'2-Dati generali-Cond. utilizzo'!$C$43,2))</f>
        <v>m3/h</v>
      </c>
      <c r="E75" s="886">
        <f>IF('2-Dati generali-Cond. utilizzo'!$C$43=1,(SUMIF('Rendimenti e consumi ghp'!$A$74:$A$80,C$81,'Rendimenti e consumi ghp'!$J$74:$J$80)*E$10/'Dati x formule'!$D$4*'1-Ore funzionamento'!$AF14),IF('2-Dati generali-Cond. utilizzo'!$C$43=2,(SUMIF('Rendimenti e consumi ghp'!$A$74:$A$80,C$81,'Rendimenti e consumi ghp'!$J$74:$J$80)*E$10/'Dati x formule'!$D$5*'1-Ore funzionamento'!$AF14),(SUMIF('Rendimenti e consumi ghp'!$A$74:$A$80,C$81,'Rendimenti e consumi ghp'!$J$74:$J$80)*E$10/'Dati x formule'!$D$6*'1-Ore funzionamento'!$AF14)))</f>
        <v>0</v>
      </c>
      <c r="F75" s="1176">
        <f>IF('2-Dati generali-Cond. utilizzo'!$C$43=1,(SUMIF('Rendimenti e consumi ghp'!$A$74:$A$80,D$81,'Rendimenti e consumi ghp'!$J$74:$J$80)*F$10/'Dati x formule'!$D$4*'1-Ore funzionamento'!$AF14),IF('2-Dati generali-Cond. utilizzo'!$C$43=2,(SUMIF('Rendimenti e consumi ghp'!$A$74:$A$80,D$81,'Rendimenti e consumi ghp'!$J$74:$J$80)*F$10/'Dati x formule'!$D$5*'1-Ore funzionamento'!$AF14),(SUMIF('Rendimenti e consumi ghp'!$A$74:$A$80,D$81,'Rendimenti e consumi ghp'!$J$74:$J$80)*F$10/'Dati x formule'!$D$6*'1-Ore funzionamento'!$AF14)))</f>
        <v>0</v>
      </c>
      <c r="G75" s="1176">
        <f>IF('2-Dati generali-Cond. utilizzo'!$C$43=1,(SUMIF('Rendimenti e consumi ghp'!$A$74:$A$80,E$81,'Rendimenti e consumi ghp'!$J$74:$J$80)*G$10/'Dati x formule'!$D$4*'1-Ore funzionamento'!$AF14),IF('2-Dati generali-Cond. utilizzo'!$C$43=2,(SUMIF('Rendimenti e consumi ghp'!$A$74:$A$80,E$81,'Rendimenti e consumi ghp'!$J$74:$J$80)*G$10/'Dati x formule'!$D$5*'1-Ore funzionamento'!$AF14),(SUMIF('Rendimenti e consumi ghp'!$A$74:$A$80,E$81,'Rendimenti e consumi ghp'!$J$74:$J$80)*G$10/'Dati x formule'!$D$6*'1-Ore funzionamento'!$AF14)))</f>
        <v>0</v>
      </c>
      <c r="H75" s="862"/>
      <c r="I75" s="911">
        <f t="shared" si="6"/>
        <v>0</v>
      </c>
      <c r="J75" s="862"/>
      <c r="K75" s="886">
        <f>$K$68*0.3</f>
        <v>0</v>
      </c>
      <c r="L75" s="887"/>
      <c r="M75" s="912">
        <f>IF('2-Dati generali-Cond. utilizzo'!$C$42=1,0,IF('2-Dati generali-Cond. utilizzo'!$C$43=1,K75/'Dati x formule'!$D$4*'1-Ore funzionamento'!$AF14*$K$10,IF('2-Dati generali-Cond. utilizzo'!$C$43=2,K75/'Dati x formule'!$D$5*'1-Ore funzionamento'!$AF14*$K$10,K75/'Dati x formule'!$D$6*'1-Ore funzionamento'!$AF14*$K$10)))</f>
        <v>0</v>
      </c>
      <c r="N75" s="886">
        <f>$N$68*0.3</f>
        <v>0</v>
      </c>
      <c r="O75" s="887"/>
      <c r="P75" s="912">
        <f>IF('2-Dati generali-Cond. utilizzo'!$C$42=1,0,IF('2-Dati generali-Cond. utilizzo'!$C$43=1,N75/'Dati x formule'!$D$4*'1-Ore funzionamento'!$AF14*$N$10,IF('2-Dati generali-Cond. utilizzo'!$C$43=2,N75/'Dati x formule'!$D$5*'1-Ore funzionamento'!$AF14*$N$10,N75/'Dati x formule'!$D$6*'1-Ore funzionamento'!$AF14*$N$10)))</f>
        <v>0</v>
      </c>
      <c r="Q75" s="886">
        <f>$Q$68*0.3</f>
        <v>0</v>
      </c>
      <c r="R75" s="887"/>
      <c r="S75" s="888">
        <f>IF('2-Dati generali-Cond. utilizzo'!$C$42=1,0,IF('2-Dati generali-Cond. utilizzo'!$C$43=1,Q75/'Dati x formule'!$D$4*'1-Ore funzionamento'!$AF14*$Q$10,IF('2-Dati generali-Cond. utilizzo'!$C$43=2,Q75/'Dati x formule'!$D$5*'1-Ore funzionamento'!$AF14*$Q$10,Q75/'Dati x formule'!$D$6*'1-Ore funzionamento'!$AF14*$Q$10)))</f>
        <v>0</v>
      </c>
      <c r="T75" s="862"/>
      <c r="U75" s="886">
        <f>IF('2-Dati generali-Cond. utilizzo'!$C$48=1,SUM(K75*$K$10,N75*$N$10,Q75*$Q$10),SUM(L75*$K$10,O75*$N$10,R75*$Q$10))</f>
        <v>0</v>
      </c>
      <c r="V75" s="889">
        <f t="shared" si="5"/>
        <v>0</v>
      </c>
      <c r="X75" s="460"/>
    </row>
    <row r="76" spans="1:24" ht="32.1" customHeight="1" thickBot="1" x14ac:dyDescent="0.3">
      <c r="A76" s="906" t="s">
        <v>566</v>
      </c>
      <c r="B76" s="807"/>
      <c r="C76" s="818" t="str">
        <f>IF('2-Dati generali-Cond. utilizzo'!$C$43=4,"",INDEX(Tabella_tipo_gas,'2-Dati generali-Cond. utilizzo'!$C$43,2))</f>
        <v>m3/h</v>
      </c>
      <c r="D76" s="807"/>
      <c r="E76" s="892">
        <f>SUM(E68:E75)</f>
        <v>0</v>
      </c>
      <c r="F76" s="1162">
        <f>SUM(F68:F75)</f>
        <v>0</v>
      </c>
      <c r="G76" s="1163">
        <f>SUM(G68:G75)</f>
        <v>0</v>
      </c>
      <c r="H76" s="896"/>
      <c r="I76" s="913">
        <f>IF('Defrost VRV'!G82&lt;1,SUM(I68:I75),SUM(I68:I75)/'Defrost VRV'!G82)</f>
        <v>0</v>
      </c>
      <c r="J76" s="862"/>
      <c r="K76" s="893"/>
      <c r="L76" s="893"/>
      <c r="M76" s="892">
        <f>SUM(M68:M75)</f>
        <v>0</v>
      </c>
      <c r="N76" s="893"/>
      <c r="O76" s="893"/>
      <c r="P76" s="892">
        <f>SUM(P68:P75)</f>
        <v>0</v>
      </c>
      <c r="Q76" s="893"/>
      <c r="R76" s="893"/>
      <c r="S76" s="892">
        <f>SUM(S68:S75)</f>
        <v>0</v>
      </c>
      <c r="T76" s="895"/>
      <c r="U76" s="897"/>
      <c r="V76" s="892">
        <f>IF(OR('2-Dati generali-Cond. utilizzo'!C42=3,'2-Dati generali-Cond. utilizzo'!C42=4),SUM(V68:V75),SUM(V68:V75)/'Defrost VRV'!I82)</f>
        <v>0</v>
      </c>
      <c r="X76" s="460"/>
    </row>
    <row r="77" spans="1:24" x14ac:dyDescent="0.25">
      <c r="I77" s="916"/>
    </row>
    <row r="78" spans="1:24" ht="25.5" x14ac:dyDescent="0.25">
      <c r="V78" s="917">
        <f>IF('5-Costi di funziona.- pay back'!N41='5-Costi di funziona.- pay back'!I41,0,IF('5-Costi di funziona.- pay back'!N41&lt;'5-Costi di funziona.- pay back'!I41,"----",'5-Costi di funziona.- pay back'!F53))</f>
        <v>0</v>
      </c>
      <c r="X78" s="460"/>
    </row>
    <row r="79" spans="1:24" hidden="1" x14ac:dyDescent="0.25">
      <c r="V79" s="917" t="str">
        <f>IF('5-Costi di funziona.- pay back'!F62=0,"---",'5-Costi di funziona.- pay back'!F62)</f>
        <v/>
      </c>
      <c r="W79" s="462"/>
    </row>
    <row r="80" spans="1:24" ht="15.75" hidden="1" x14ac:dyDescent="0.25">
      <c r="A80" s="918" t="s">
        <v>24</v>
      </c>
      <c r="B80" s="919"/>
      <c r="C80" s="920">
        <v>15</v>
      </c>
      <c r="D80" s="920">
        <v>15</v>
      </c>
      <c r="E80" s="920">
        <v>15</v>
      </c>
      <c r="K80" s="921"/>
      <c r="L80" s="922"/>
      <c r="M80" s="923"/>
      <c r="N80" s="923"/>
      <c r="O80" s="923"/>
      <c r="P80" s="923"/>
    </row>
    <row r="81" spans="1:18" ht="15.75" hidden="1" x14ac:dyDescent="0.25">
      <c r="A81" s="918" t="s">
        <v>54</v>
      </c>
      <c r="B81" s="924"/>
      <c r="C81" s="925">
        <f>INDEX(Tabella_caratteristiche_ghp,C80,2)</f>
        <v>0</v>
      </c>
      <c r="D81" s="925">
        <f>INDEX(Tabella_caratteristiche_ghp,D80,2)</f>
        <v>0</v>
      </c>
      <c r="E81" s="925">
        <f>INDEX(Tabella_caratteristiche_ghp,E80,2)</f>
        <v>0</v>
      </c>
      <c r="K81" s="921"/>
      <c r="L81" s="926"/>
      <c r="M81" s="927"/>
      <c r="N81" s="927"/>
      <c r="O81" s="927"/>
      <c r="P81" s="927"/>
    </row>
    <row r="82" spans="1:18" hidden="1" x14ac:dyDescent="0.25">
      <c r="A82" s="928"/>
      <c r="B82" s="929"/>
      <c r="C82" s="930"/>
      <c r="D82" s="929"/>
      <c r="E82" s="928"/>
      <c r="O82" s="916"/>
      <c r="R82" s="916"/>
    </row>
    <row r="83" spans="1:18" hidden="1" x14ac:dyDescent="0.25">
      <c r="A83" s="928"/>
      <c r="B83" s="928"/>
      <c r="C83" s="928"/>
      <c r="D83" s="929"/>
      <c r="E83" s="928"/>
      <c r="O83" s="916"/>
      <c r="R83" s="916"/>
    </row>
    <row r="84" spans="1:18" hidden="1" x14ac:dyDescent="0.25">
      <c r="A84" s="918" t="s">
        <v>283</v>
      </c>
      <c r="B84" s="931"/>
      <c r="C84" s="920" t="s">
        <v>549</v>
      </c>
      <c r="D84" s="929"/>
      <c r="E84" s="928"/>
      <c r="O84" s="916"/>
      <c r="R84" s="916"/>
    </row>
    <row r="85" spans="1:18" hidden="1" x14ac:dyDescent="0.25">
      <c r="A85" s="928"/>
      <c r="B85" s="931"/>
      <c r="C85" s="920" t="s">
        <v>284</v>
      </c>
      <c r="D85" s="929"/>
      <c r="E85" s="928"/>
      <c r="O85" s="916"/>
      <c r="R85" s="916"/>
    </row>
    <row r="86" spans="1:18" ht="15.75" hidden="1" x14ac:dyDescent="0.25">
      <c r="A86" s="918" t="s">
        <v>285</v>
      </c>
      <c r="B86" s="931"/>
      <c r="C86" s="920">
        <v>2</v>
      </c>
      <c r="D86" s="931">
        <v>2</v>
      </c>
      <c r="E86" s="920">
        <v>2</v>
      </c>
      <c r="O86" s="916"/>
      <c r="R86" s="916"/>
    </row>
    <row r="87" spans="1:18" hidden="1" x14ac:dyDescent="0.25">
      <c r="A87" s="918" t="s">
        <v>282</v>
      </c>
      <c r="B87" s="929"/>
      <c r="C87" s="920">
        <v>7</v>
      </c>
      <c r="D87" s="931">
        <v>7</v>
      </c>
      <c r="E87" s="920">
        <v>7</v>
      </c>
      <c r="O87" s="916"/>
      <c r="R87" s="916"/>
    </row>
    <row r="88" spans="1:18" ht="15.75" hidden="1" x14ac:dyDescent="0.25">
      <c r="A88" s="918" t="s">
        <v>54</v>
      </c>
      <c r="B88" s="924"/>
      <c r="C88" s="925">
        <f>INDEX('Rendimenti e consumi VRV'!A78:L84,C87,3)</f>
        <v>0</v>
      </c>
      <c r="D88" s="925">
        <f>INDEX('Rendimenti e consumi VRV'!A78:L84,D87,3)</f>
        <v>0</v>
      </c>
      <c r="E88" s="925">
        <f>INDEX('Rendimenti e consumi VRV'!A78:L84,E87,3)</f>
        <v>0</v>
      </c>
      <c r="O88" s="916"/>
      <c r="R88" s="916"/>
    </row>
    <row r="89" spans="1:18" hidden="1" x14ac:dyDescent="0.25">
      <c r="A89" s="928"/>
      <c r="B89" s="929"/>
      <c r="C89" s="925" t="str">
        <f>INDEX('Rendimenti e consumi VRV'!A78:L84,'3-Caratteristiche dei sistemi'!C87,1)</f>
        <v>ALTRO</v>
      </c>
      <c r="D89" s="931" t="str">
        <f>INDEX('Rendimenti e consumi VRV'!A78:L84,'3-Caratteristiche dei sistemi'!D87,1)</f>
        <v>ALTRO</v>
      </c>
      <c r="E89" s="928" t="str">
        <f>INDEX('Rendimenti e consumi VRV'!A78:L84,'3-Caratteristiche dei sistemi'!E87,1)</f>
        <v>ALTRO</v>
      </c>
      <c r="O89" s="916"/>
      <c r="R89" s="916"/>
    </row>
    <row r="90" spans="1:18" hidden="1" x14ac:dyDescent="0.25"/>
  </sheetData>
  <mergeCells count="42">
    <mergeCell ref="N14:O14"/>
    <mergeCell ref="K14:L14"/>
    <mergeCell ref="K16:L16"/>
    <mergeCell ref="N16:O16"/>
    <mergeCell ref="K54:S55"/>
    <mergeCell ref="Q30:Q31"/>
    <mergeCell ref="R30:R31"/>
    <mergeCell ref="K29:L29"/>
    <mergeCell ref="N29:O29"/>
    <mergeCell ref="Q29:R29"/>
    <mergeCell ref="N30:N31"/>
    <mergeCell ref="O30:O31"/>
    <mergeCell ref="A22:A25"/>
    <mergeCell ref="K18:M18"/>
    <mergeCell ref="N18:P18"/>
    <mergeCell ref="K30:K31"/>
    <mergeCell ref="L30:L31"/>
    <mergeCell ref="E28:I30"/>
    <mergeCell ref="U18:V18"/>
    <mergeCell ref="U16:V16"/>
    <mergeCell ref="U14:V14"/>
    <mergeCell ref="Q18:S18"/>
    <mergeCell ref="Q16:R16"/>
    <mergeCell ref="Q14:R14"/>
    <mergeCell ref="A1:V1"/>
    <mergeCell ref="K3:V3"/>
    <mergeCell ref="E3:I3"/>
    <mergeCell ref="K7:M7"/>
    <mergeCell ref="N7:P7"/>
    <mergeCell ref="Q7:S7"/>
    <mergeCell ref="A7:A8"/>
    <mergeCell ref="E5:I5"/>
    <mergeCell ref="K5:S5"/>
    <mergeCell ref="K8:M8"/>
    <mergeCell ref="N8:P8"/>
    <mergeCell ref="Q8:S8"/>
    <mergeCell ref="K10:M10"/>
    <mergeCell ref="K12:M12"/>
    <mergeCell ref="Q12:S12"/>
    <mergeCell ref="Q10:S10"/>
    <mergeCell ref="N12:P12"/>
    <mergeCell ref="N10:P10"/>
  </mergeCells>
  <phoneticPr fontId="7" type="noConversion"/>
  <printOptions horizontalCentered="1"/>
  <pageMargins left="0.19685039370078741" right="0.23622047244094491" top="0.35433070866141736" bottom="0.19685039370078741" header="0.15748031496062992" footer="0.15748031496062992"/>
  <pageSetup paperSize="9" scale="49" orientation="landscape" horizontalDpi="300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0" r:id="rId4" name="Drop Down 14">
              <controlPr defaultSize="0" autoLine="0" autoPict="0">
                <anchor moveWithCells="1">
                  <from>
                    <xdr:col>4</xdr:col>
                    <xdr:colOff>9525</xdr:colOff>
                    <xdr:row>6</xdr:row>
                    <xdr:rowOff>9525</xdr:rowOff>
                  </from>
                  <to>
                    <xdr:col>4</xdr:col>
                    <xdr:colOff>1409700</xdr:colOff>
                    <xdr:row>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5" name="Drop Down 15">
              <controlPr defaultSize="0" autoLine="0" autoPict="0">
                <anchor moveWithCells="1">
                  <from>
                    <xdr:col>5</xdr:col>
                    <xdr:colOff>9525</xdr:colOff>
                    <xdr:row>6</xdr:row>
                    <xdr:rowOff>9525</xdr:rowOff>
                  </from>
                  <to>
                    <xdr:col>5</xdr:col>
                    <xdr:colOff>1409700</xdr:colOff>
                    <xdr:row>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6" name="Spinner 16">
              <controlPr defaultSize="0" autoPict="0">
                <anchor moveWithCells="1" sizeWithCells="1">
                  <from>
                    <xdr:col>4</xdr:col>
                    <xdr:colOff>9525</xdr:colOff>
                    <xdr:row>9</xdr:row>
                    <xdr:rowOff>9525</xdr:rowOff>
                  </from>
                  <to>
                    <xdr:col>4</xdr:col>
                    <xdr:colOff>228600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7" name="Spinner 17">
              <controlPr defaultSize="0" autoPict="0">
                <anchor moveWithCells="1" sizeWithCells="1">
                  <from>
                    <xdr:col>5</xdr:col>
                    <xdr:colOff>9525</xdr:colOff>
                    <xdr:row>9</xdr:row>
                    <xdr:rowOff>9525</xdr:rowOff>
                  </from>
                  <to>
                    <xdr:col>5</xdr:col>
                    <xdr:colOff>228600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8" name="Spinner 18">
              <controlPr defaultSize="0" autoPict="0">
                <anchor moveWithCells="1" sizeWithCells="1">
                  <from>
                    <xdr:col>10</xdr:col>
                    <xdr:colOff>9525</xdr:colOff>
                    <xdr:row>9</xdr:row>
                    <xdr:rowOff>9525</xdr:rowOff>
                  </from>
                  <to>
                    <xdr:col>10</xdr:col>
                    <xdr:colOff>228600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9" name="Spinner 27">
              <controlPr defaultSize="0" autoPict="0">
                <anchor moveWithCells="1" sizeWithCells="1">
                  <from>
                    <xdr:col>13</xdr:col>
                    <xdr:colOff>9525</xdr:colOff>
                    <xdr:row>9</xdr:row>
                    <xdr:rowOff>9525</xdr:rowOff>
                  </from>
                  <to>
                    <xdr:col>13</xdr:col>
                    <xdr:colOff>228600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0" name="Drop Down 28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9525</xdr:rowOff>
                  </from>
                  <to>
                    <xdr:col>6</xdr:col>
                    <xdr:colOff>1409700</xdr:colOff>
                    <xdr:row>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Spinner 29">
              <controlPr defaultSize="0" autoPict="0">
                <anchor moveWithCells="1" sizeWithCells="1">
                  <from>
                    <xdr:col>6</xdr:col>
                    <xdr:colOff>9525</xdr:colOff>
                    <xdr:row>9</xdr:row>
                    <xdr:rowOff>9525</xdr:rowOff>
                  </from>
                  <to>
                    <xdr:col>6</xdr:col>
                    <xdr:colOff>228600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12" name="Spinner 35">
              <controlPr defaultSize="0" autoPict="0">
                <anchor moveWithCells="1" sizeWithCells="1">
                  <from>
                    <xdr:col>16</xdr:col>
                    <xdr:colOff>9525</xdr:colOff>
                    <xdr:row>9</xdr:row>
                    <xdr:rowOff>9525</xdr:rowOff>
                  </from>
                  <to>
                    <xdr:col>16</xdr:col>
                    <xdr:colOff>228600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13" name="Drop Down 40">
              <controlPr defaultSize="0" autoLine="0" autoPict="0">
                <anchor moveWithCells="1">
                  <from>
                    <xdr:col>10</xdr:col>
                    <xdr:colOff>9525</xdr:colOff>
                    <xdr:row>6</xdr:row>
                    <xdr:rowOff>9525</xdr:rowOff>
                  </from>
                  <to>
                    <xdr:col>12</xdr:col>
                    <xdr:colOff>904875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14" name="Drop Down 43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28575</xdr:rowOff>
                  </from>
                  <to>
                    <xdr:col>4</xdr:col>
                    <xdr:colOff>1419225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15" name="Drop Down 44">
              <controlPr defaultSize="0" autoLine="0" autoPict="0">
                <anchor moveWithCells="1">
                  <from>
                    <xdr:col>5</xdr:col>
                    <xdr:colOff>38100</xdr:colOff>
                    <xdr:row>19</xdr:row>
                    <xdr:rowOff>28575</xdr:rowOff>
                  </from>
                  <to>
                    <xdr:col>5</xdr:col>
                    <xdr:colOff>1400175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16" name="Drop Down 45">
              <controlPr defaultSize="0" autoLine="0" autoPict="0">
                <anchor moveWithCells="1">
                  <from>
                    <xdr:col>6</xdr:col>
                    <xdr:colOff>9525</xdr:colOff>
                    <xdr:row>19</xdr:row>
                    <xdr:rowOff>28575</xdr:rowOff>
                  </from>
                  <to>
                    <xdr:col>6</xdr:col>
                    <xdr:colOff>1400175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17" name="Drop Down 47">
              <controlPr defaultSize="0" autoLine="0" autoPict="0">
                <anchor moveWithCells="1">
                  <from>
                    <xdr:col>13</xdr:col>
                    <xdr:colOff>28575</xdr:colOff>
                    <xdr:row>6</xdr:row>
                    <xdr:rowOff>9525</xdr:rowOff>
                  </from>
                  <to>
                    <xdr:col>15</xdr:col>
                    <xdr:colOff>914400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18" name="Drop Down 48">
              <controlPr defaultSize="0" autoLine="0" autoPict="0">
                <anchor moveWithCells="1">
                  <from>
                    <xdr:col>16</xdr:col>
                    <xdr:colOff>9525</xdr:colOff>
                    <xdr:row>6</xdr:row>
                    <xdr:rowOff>19050</xdr:rowOff>
                  </from>
                  <to>
                    <xdr:col>19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>
    <pageSetUpPr fitToPage="1"/>
  </sheetPr>
  <dimension ref="A1:L32"/>
  <sheetViews>
    <sheetView zoomScale="70" zoomScaleNormal="70" workbookViewId="0">
      <selection sqref="A1:I1"/>
    </sheetView>
  </sheetViews>
  <sheetFormatPr defaultRowHeight="15" x14ac:dyDescent="0.25"/>
  <cols>
    <col min="1" max="1" width="39.25" style="348" customWidth="1"/>
    <col min="2" max="2" width="4.625" style="384" customWidth="1"/>
    <col min="3" max="5" width="22.625" style="348" customWidth="1"/>
    <col min="6" max="6" width="1.625" style="348" customWidth="1"/>
    <col min="7" max="9" width="22.625" style="348" customWidth="1"/>
    <col min="10" max="10" width="19.375" style="348" bestFit="1" customWidth="1"/>
    <col min="11" max="11" width="9.375" style="348" customWidth="1"/>
    <col min="12" max="12" width="19.625" style="348" bestFit="1" customWidth="1"/>
    <col min="13" max="16384" width="9" style="348"/>
  </cols>
  <sheetData>
    <row r="1" spans="1:12" ht="26.25" x14ac:dyDescent="0.25">
      <c r="A1" s="1269" t="s">
        <v>574</v>
      </c>
      <c r="B1" s="1269"/>
      <c r="C1" s="1269"/>
      <c r="D1" s="1269"/>
      <c r="E1" s="1269"/>
      <c r="F1" s="1269"/>
      <c r="G1" s="1269"/>
      <c r="H1" s="1269"/>
      <c r="I1" s="1269"/>
      <c r="J1" s="43"/>
      <c r="K1" s="43"/>
      <c r="L1" s="43"/>
    </row>
    <row r="2" spans="1:12" ht="6" customHeight="1" x14ac:dyDescent="0.25">
      <c r="A2" s="804"/>
      <c r="B2" s="804"/>
      <c r="C2" s="804"/>
      <c r="D2" s="804"/>
      <c r="E2" s="804"/>
      <c r="F2" s="804"/>
      <c r="G2" s="804"/>
      <c r="H2" s="976"/>
      <c r="I2" s="976"/>
    </row>
    <row r="3" spans="1:12" ht="27.95" customHeight="1" x14ac:dyDescent="0.25">
      <c r="A3" s="977" t="s">
        <v>567</v>
      </c>
      <c r="B3" s="804"/>
      <c r="C3" s="1348" t="s">
        <v>4</v>
      </c>
      <c r="D3" s="1348"/>
      <c r="E3" s="1348"/>
      <c r="F3" s="978"/>
      <c r="G3" s="1348" t="s">
        <v>352</v>
      </c>
      <c r="H3" s="1348"/>
      <c r="I3" s="1348"/>
    </row>
    <row r="4" spans="1:12" ht="6" customHeight="1" x14ac:dyDescent="0.25">
      <c r="A4" s="803"/>
      <c r="B4" s="803"/>
      <c r="C4" s="804"/>
      <c r="D4" s="804"/>
      <c r="E4" s="804"/>
      <c r="F4" s="804"/>
      <c r="G4" s="804"/>
      <c r="H4" s="976"/>
      <c r="I4" s="976"/>
    </row>
    <row r="5" spans="1:12" ht="27.95" customHeight="1" x14ac:dyDescent="0.25">
      <c r="A5" s="979" t="s">
        <v>568</v>
      </c>
      <c r="B5" s="804"/>
      <c r="C5" s="980">
        <f>IF('3-Caratteristiche dei sistemi'!C80=13,"",(INDEX(Tabella_caratteristiche_ghp,'3-Caratteristiche dei sistemi'!C80,1)))</f>
        <v>0</v>
      </c>
      <c r="D5" s="980">
        <f>IF('3-Caratteristiche dei sistemi'!D80=13,"",INDEX(Tabella_caratteristiche_ghp,'3-Caratteristiche dei sistemi'!D80,1))</f>
        <v>0</v>
      </c>
      <c r="E5" s="980">
        <f>IF('3-Caratteristiche dei sistemi'!E80=13,"",INDEX(Tabella_caratteristiche_ghp,'3-Caratteristiche dei sistemi'!E80,1))</f>
        <v>0</v>
      </c>
      <c r="F5" s="804"/>
      <c r="G5" s="981">
        <f>'5-Costi di funziona.- pay back'!K5</f>
        <v>0</v>
      </c>
      <c r="H5" s="982">
        <f>'5-Costi di funziona.- pay back'!L5</f>
        <v>0</v>
      </c>
      <c r="I5" s="982">
        <f>'5-Costi di funziona.- pay back'!M5</f>
        <v>0</v>
      </c>
    </row>
    <row r="6" spans="1:12" ht="6" customHeight="1" x14ac:dyDescent="0.25">
      <c r="A6" s="804"/>
      <c r="B6" s="804"/>
      <c r="C6" s="804"/>
      <c r="D6" s="804"/>
      <c r="E6" s="804"/>
      <c r="F6" s="804"/>
      <c r="G6" s="804"/>
      <c r="H6" s="976"/>
      <c r="I6" s="976"/>
    </row>
    <row r="7" spans="1:12" ht="32.1" customHeight="1" x14ac:dyDescent="0.25">
      <c r="A7" s="804"/>
      <c r="B7" s="804"/>
      <c r="C7" s="804"/>
      <c r="D7" s="804"/>
      <c r="E7" s="804"/>
      <c r="F7" s="804"/>
      <c r="G7" s="979"/>
      <c r="H7" s="792"/>
      <c r="I7" s="792"/>
    </row>
    <row r="8" spans="1:12" ht="6" customHeight="1" x14ac:dyDescent="0.25">
      <c r="A8" s="804"/>
      <c r="B8" s="804"/>
      <c r="C8" s="804"/>
      <c r="D8" s="804"/>
      <c r="E8" s="804"/>
      <c r="F8" s="804"/>
      <c r="G8" s="804"/>
      <c r="H8" s="976"/>
      <c r="I8" s="976"/>
    </row>
    <row r="9" spans="1:12" ht="27.95" customHeight="1" x14ac:dyDescent="0.25">
      <c r="A9" s="979" t="s">
        <v>569</v>
      </c>
      <c r="B9" s="979" t="s">
        <v>13</v>
      </c>
      <c r="C9" s="983"/>
      <c r="D9" s="983"/>
      <c r="E9" s="983"/>
      <c r="F9" s="984"/>
      <c r="G9" s="983"/>
      <c r="H9" s="983"/>
      <c r="I9" s="983"/>
    </row>
    <row r="10" spans="1:12" ht="6" customHeight="1" x14ac:dyDescent="0.25">
      <c r="A10" s="804"/>
      <c r="B10" s="804"/>
      <c r="C10" s="804"/>
      <c r="D10" s="804"/>
      <c r="E10" s="804"/>
      <c r="F10" s="804"/>
      <c r="G10" s="804"/>
      <c r="H10" s="976"/>
      <c r="I10" s="976"/>
    </row>
    <row r="11" spans="1:12" ht="27.95" customHeight="1" x14ac:dyDescent="0.25">
      <c r="A11" s="979" t="s">
        <v>570</v>
      </c>
      <c r="B11" s="979" t="s">
        <v>15</v>
      </c>
      <c r="C11" s="985"/>
      <c r="D11" s="985"/>
      <c r="E11" s="985"/>
      <c r="F11" s="804"/>
      <c r="G11" s="985"/>
      <c r="H11" s="985"/>
      <c r="I11" s="985"/>
    </row>
    <row r="12" spans="1:12" ht="6" customHeight="1" x14ac:dyDescent="0.25">
      <c r="A12" s="932"/>
      <c r="B12" s="932"/>
      <c r="C12" s="804"/>
      <c r="D12" s="804"/>
      <c r="E12" s="804"/>
      <c r="F12" s="804"/>
      <c r="G12" s="984"/>
      <c r="H12" s="986"/>
      <c r="I12" s="987"/>
      <c r="J12" s="458"/>
      <c r="K12" s="385"/>
    </row>
    <row r="13" spans="1:12" ht="27.95" customHeight="1" x14ac:dyDescent="0.25">
      <c r="A13" s="979" t="s">
        <v>571</v>
      </c>
      <c r="B13" s="979" t="s">
        <v>13</v>
      </c>
      <c r="C13" s="988" t="str">
        <f>IF(C9="","",C9-(C9*C11))</f>
        <v/>
      </c>
      <c r="D13" s="988" t="str">
        <f>IF(D9="","",D9-(D9*D11))</f>
        <v/>
      </c>
      <c r="E13" s="988" t="str">
        <f>IF(E9="","",E9-(E9*E11))</f>
        <v/>
      </c>
      <c r="F13" s="989"/>
      <c r="G13" s="988" t="str">
        <f>IF(G9="","",IF(G11="",G9,G9-G9*G11))</f>
        <v/>
      </c>
      <c r="H13" s="988" t="str">
        <f>IF(H9="","",IF(H11="",H9,H9-H9*H11))</f>
        <v/>
      </c>
      <c r="I13" s="988" t="str">
        <f>IF(I9="","",IF(I11="",I9,I9-I9*I11))</f>
        <v/>
      </c>
    </row>
    <row r="14" spans="1:12" ht="6" customHeight="1" x14ac:dyDescent="0.25">
      <c r="A14" s="804"/>
      <c r="B14" s="804"/>
      <c r="C14" s="990">
        <f>IF(C13="",0,C13)</f>
        <v>0</v>
      </c>
      <c r="D14" s="990">
        <f>IF(D13="",0,D13)</f>
        <v>0</v>
      </c>
      <c r="E14" s="990">
        <f>IF(E13="",0,E13)</f>
        <v>0</v>
      </c>
      <c r="F14" s="804"/>
      <c r="G14" s="990">
        <f>IF(G13="",0,G13)</f>
        <v>0</v>
      </c>
      <c r="H14" s="990">
        <f>IF(H13="",0,H13)</f>
        <v>0</v>
      </c>
      <c r="I14" s="990">
        <f>IF(I13="",0,I13)</f>
        <v>0</v>
      </c>
    </row>
    <row r="15" spans="1:12" ht="32.1" customHeight="1" x14ac:dyDescent="0.25">
      <c r="A15" s="979" t="s">
        <v>572</v>
      </c>
      <c r="B15" s="979" t="s">
        <v>13</v>
      </c>
      <c r="C15" s="1351"/>
      <c r="D15" s="1352"/>
      <c r="E15" s="1353"/>
      <c r="F15" s="804"/>
      <c r="G15" s="1351"/>
      <c r="H15" s="1352"/>
      <c r="I15" s="1353"/>
    </row>
    <row r="16" spans="1:12" ht="6" customHeight="1" x14ac:dyDescent="0.25">
      <c r="A16" s="804"/>
      <c r="B16" s="804"/>
      <c r="C16" s="990"/>
      <c r="D16" s="990"/>
      <c r="E16" s="990"/>
      <c r="F16" s="804"/>
      <c r="G16" s="990"/>
      <c r="H16" s="990"/>
      <c r="I16" s="990"/>
    </row>
    <row r="17" spans="1:9" ht="27.95" customHeight="1" x14ac:dyDescent="0.25">
      <c r="A17" s="979" t="s">
        <v>552</v>
      </c>
      <c r="B17" s="979" t="s">
        <v>348</v>
      </c>
      <c r="C17" s="991" t="str">
        <f>IF(C9="","",'3-Caratteristiche dei sistemi'!E10)</f>
        <v/>
      </c>
      <c r="D17" s="991" t="str">
        <f>IF(D9="","",'3-Caratteristiche dei sistemi'!F10)</f>
        <v/>
      </c>
      <c r="E17" s="991" t="str">
        <f>IF(E9="","",'3-Caratteristiche dei sistemi'!G10)</f>
        <v/>
      </c>
      <c r="F17" s="992"/>
      <c r="G17" s="991" t="str">
        <f>IF(G9="","",'3-Caratteristiche dei sistemi'!K10)</f>
        <v/>
      </c>
      <c r="H17" s="991" t="str">
        <f>IF(H9="","",'3-Caratteristiche dei sistemi'!N10)</f>
        <v/>
      </c>
      <c r="I17" s="991" t="str">
        <f>IF(I9="","",'3-Caratteristiche dei sistemi'!O10)</f>
        <v/>
      </c>
    </row>
    <row r="18" spans="1:9" ht="6" customHeight="1" x14ac:dyDescent="0.25">
      <c r="A18" s="803"/>
      <c r="B18" s="804"/>
      <c r="C18" s="993">
        <f>IF(C17="",0,C17)</f>
        <v>0</v>
      </c>
      <c r="D18" s="993">
        <f>IF(D17="",0,D17)</f>
        <v>0</v>
      </c>
      <c r="E18" s="993">
        <f>IF(E17="",0,E17)</f>
        <v>0</v>
      </c>
      <c r="F18" s="815"/>
      <c r="G18" s="993">
        <f>IF(G17="",0,G17)</f>
        <v>0</v>
      </c>
      <c r="H18" s="993">
        <f>IF(H17="",0,H17)</f>
        <v>0</v>
      </c>
      <c r="I18" s="993">
        <f>IF(I17="",0,I17)</f>
        <v>0</v>
      </c>
    </row>
    <row r="19" spans="1:9" ht="27.95" customHeight="1" x14ac:dyDescent="0.25">
      <c r="A19" s="979" t="s">
        <v>361</v>
      </c>
      <c r="B19" s="979" t="s">
        <v>13</v>
      </c>
      <c r="C19" s="1355"/>
      <c r="D19" s="1356"/>
      <c r="E19" s="1357"/>
      <c r="F19" s="992"/>
      <c r="G19" s="1355"/>
      <c r="H19" s="1356"/>
      <c r="I19" s="1357"/>
    </row>
    <row r="20" spans="1:9" ht="6" customHeight="1" x14ac:dyDescent="0.25">
      <c r="A20" s="804"/>
      <c r="B20" s="804"/>
      <c r="C20" s="804"/>
      <c r="D20" s="804"/>
      <c r="E20" s="804"/>
      <c r="F20" s="804"/>
      <c r="G20" s="804"/>
      <c r="H20" s="976"/>
      <c r="I20" s="976"/>
    </row>
    <row r="21" spans="1:9" ht="27.95" customHeight="1" x14ac:dyDescent="0.25">
      <c r="A21" s="979" t="s">
        <v>573</v>
      </c>
      <c r="B21" s="979" t="s">
        <v>13</v>
      </c>
      <c r="C21" s="1347">
        <f>(C14*C18+D14*D18+E14*E18)+C19+C15</f>
        <v>0</v>
      </c>
      <c r="D21" s="1347"/>
      <c r="E21" s="1347"/>
      <c r="F21" s="804"/>
      <c r="G21" s="1347">
        <f>(G14*G18+H14*H18+I14*I18)+G19+G15</f>
        <v>0</v>
      </c>
      <c r="H21" s="1347"/>
      <c r="I21" s="1347"/>
    </row>
    <row r="22" spans="1:9" ht="6" customHeight="1" x14ac:dyDescent="0.25">
      <c r="A22" s="976"/>
      <c r="B22" s="976"/>
      <c r="C22" s="976"/>
      <c r="D22" s="976"/>
      <c r="E22" s="976"/>
      <c r="F22" s="976"/>
      <c r="G22" s="976"/>
      <c r="H22" s="976"/>
      <c r="I22" s="976"/>
    </row>
    <row r="23" spans="1:9" ht="23.25" x14ac:dyDescent="0.25">
      <c r="A23" s="979" t="s">
        <v>362</v>
      </c>
      <c r="B23" s="979" t="s">
        <v>13</v>
      </c>
      <c r="C23" s="994"/>
      <c r="D23" s="804"/>
      <c r="E23" s="804"/>
      <c r="F23" s="804"/>
      <c r="G23" s="1347">
        <f>IF(OR(C21="",G21=""),"",G21-C21)</f>
        <v>0</v>
      </c>
      <c r="H23" s="1347"/>
      <c r="I23" s="1347"/>
    </row>
    <row r="24" spans="1:9" ht="6" customHeight="1" x14ac:dyDescent="0.25">
      <c r="A24" s="976"/>
      <c r="B24" s="976"/>
      <c r="C24" s="976"/>
      <c r="D24" s="976"/>
      <c r="E24" s="976"/>
      <c r="F24" s="976"/>
      <c r="G24" s="995"/>
      <c r="H24" s="995"/>
      <c r="I24" s="976"/>
    </row>
    <row r="25" spans="1:9" ht="23.25" x14ac:dyDescent="0.25">
      <c r="A25" s="979" t="s">
        <v>16</v>
      </c>
      <c r="B25" s="979" t="s">
        <v>13</v>
      </c>
      <c r="C25" s="1354" t="s">
        <v>575</v>
      </c>
      <c r="D25" s="1354"/>
      <c r="E25" s="1354"/>
      <c r="F25" s="804"/>
      <c r="G25" s="1349">
        <f>IF('2-Dati generali-Cond. utilizzo'!C42=5,"Non specificato",IF('2-Dati generali-Cond. utilizzo'!C42&lt;4,(MAX('3-Caratteristiche dei sistemi'!U32:U50)-'2-Dati generali-Cond. utilizzo'!D37)*'2-Dati generali-Cond. utilizzo'!D33,"Non specificato"))</f>
        <v>0</v>
      </c>
      <c r="H25" s="1349"/>
      <c r="I25" s="1349"/>
    </row>
    <row r="26" spans="1:9" ht="6" customHeight="1" x14ac:dyDescent="0.25">
      <c r="A26" s="976"/>
      <c r="B26" s="976"/>
      <c r="C26" s="976"/>
      <c r="D26" s="976"/>
      <c r="E26" s="976"/>
      <c r="F26" s="976"/>
      <c r="G26" s="995"/>
      <c r="H26" s="995"/>
      <c r="I26" s="976"/>
    </row>
    <row r="27" spans="1:9" ht="36.75" customHeight="1" x14ac:dyDescent="0.25">
      <c r="A27" s="979" t="s">
        <v>25</v>
      </c>
      <c r="B27" s="979" t="s">
        <v>13</v>
      </c>
      <c r="C27" s="1354" t="s">
        <v>575</v>
      </c>
      <c r="D27" s="1354"/>
      <c r="E27" s="1354"/>
      <c r="F27" s="976"/>
      <c r="G27" s="1350"/>
      <c r="H27" s="1350"/>
      <c r="I27" s="1350"/>
    </row>
    <row r="28" spans="1:9" ht="6" customHeight="1" x14ac:dyDescent="0.25">
      <c r="A28" s="976"/>
      <c r="B28" s="976"/>
      <c r="C28" s="976"/>
      <c r="D28" s="976"/>
      <c r="E28" s="976"/>
      <c r="F28" s="976"/>
      <c r="G28" s="995"/>
      <c r="H28" s="995"/>
      <c r="I28" s="976"/>
    </row>
    <row r="29" spans="1:9" ht="23.25" x14ac:dyDescent="0.25">
      <c r="A29" s="977" t="s">
        <v>362</v>
      </c>
      <c r="B29" s="977" t="s">
        <v>13</v>
      </c>
      <c r="C29" s="996"/>
      <c r="D29" s="804"/>
      <c r="E29" s="804"/>
      <c r="F29" s="804"/>
      <c r="G29" s="1347" t="str">
        <f>IF(G23=0,"",IF(G25="Non specificato",G23,G21+G25+G27-C21))</f>
        <v/>
      </c>
      <c r="H29" s="1347"/>
      <c r="I29" s="1347"/>
    </row>
    <row r="32" spans="1:9" x14ac:dyDescent="0.25">
      <c r="G32" s="386"/>
      <c r="H32" s="387"/>
    </row>
  </sheetData>
  <mergeCells count="15">
    <mergeCell ref="A1:I1"/>
    <mergeCell ref="C27:E27"/>
    <mergeCell ref="C3:E3"/>
    <mergeCell ref="C21:E21"/>
    <mergeCell ref="C25:E25"/>
    <mergeCell ref="C19:E19"/>
    <mergeCell ref="G19:I19"/>
    <mergeCell ref="C15:E15"/>
    <mergeCell ref="G29:I29"/>
    <mergeCell ref="G3:I3"/>
    <mergeCell ref="G21:I21"/>
    <mergeCell ref="G23:I23"/>
    <mergeCell ref="G25:I25"/>
    <mergeCell ref="G27:I27"/>
    <mergeCell ref="G15:I15"/>
  </mergeCells>
  <phoneticPr fontId="7" type="noConversion"/>
  <printOptions horizontalCentered="1"/>
  <pageMargins left="0.15748031496062992" right="0.15748031496062992" top="0.98425196850393704" bottom="0.98425196850393704" header="0.51181102362204722" footer="0.51181102362204722"/>
  <pageSetup paperSize="9" scale="75" orientation="landscape" horizontalDpi="3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zoomScale="60" zoomScaleNormal="60" workbookViewId="0">
      <selection sqref="A1:C1"/>
    </sheetView>
  </sheetViews>
  <sheetFormatPr defaultRowHeight="15" x14ac:dyDescent="0.25"/>
  <cols>
    <col min="1" max="1" width="48" style="348" customWidth="1"/>
    <col min="2" max="2" width="4.625" style="384" customWidth="1"/>
    <col min="3" max="3" width="22.625" style="348" customWidth="1"/>
    <col min="4" max="4" width="20.625" style="348" customWidth="1"/>
    <col min="5" max="5" width="48" style="348" customWidth="1"/>
    <col min="6" max="6" width="4.625" style="384" customWidth="1"/>
    <col min="7" max="9" width="22.625" style="348" customWidth="1"/>
    <col min="10" max="16384" width="9" style="348"/>
  </cols>
  <sheetData>
    <row r="1" spans="1:9" ht="26.25" x14ac:dyDescent="0.25">
      <c r="A1" s="1358" t="s">
        <v>663</v>
      </c>
      <c r="B1" s="1358"/>
      <c r="C1" s="1358"/>
      <c r="D1" s="933"/>
      <c r="E1" s="1358" t="s">
        <v>664</v>
      </c>
      <c r="F1" s="1358"/>
      <c r="G1" s="1358"/>
      <c r="H1" s="933"/>
      <c r="I1" s="933"/>
    </row>
    <row r="2" spans="1:9" ht="6" customHeight="1" thickBot="1" x14ac:dyDescent="0.3">
      <c r="A2" s="934"/>
      <c r="B2" s="929"/>
      <c r="C2" s="935"/>
      <c r="D2" s="928"/>
      <c r="E2" s="934"/>
      <c r="F2" s="929"/>
      <c r="G2" s="935"/>
      <c r="H2" s="928"/>
      <c r="I2" s="928"/>
    </row>
    <row r="3" spans="1:9" ht="27.95" customHeight="1" x14ac:dyDescent="0.25">
      <c r="A3" s="936" t="s">
        <v>616</v>
      </c>
      <c r="B3" s="937"/>
      <c r="C3" s="938" t="s">
        <v>284</v>
      </c>
      <c r="D3" s="939"/>
      <c r="E3" s="940" t="s">
        <v>616</v>
      </c>
      <c r="F3" s="937"/>
      <c r="G3" s="938" t="s">
        <v>284</v>
      </c>
      <c r="H3" s="939"/>
      <c r="I3" s="941"/>
    </row>
    <row r="4" spans="1:9" ht="6" customHeight="1" x14ac:dyDescent="0.25">
      <c r="A4" s="942"/>
      <c r="B4" s="929"/>
      <c r="C4" s="934"/>
      <c r="D4" s="943"/>
      <c r="E4" s="934"/>
      <c r="F4" s="929"/>
      <c r="G4" s="934"/>
      <c r="H4" s="943"/>
      <c r="I4" s="944"/>
    </row>
    <row r="5" spans="1:9" ht="32.1" customHeight="1" x14ac:dyDescent="0.25">
      <c r="A5" s="945" t="s">
        <v>617</v>
      </c>
      <c r="B5" s="946" t="s">
        <v>13</v>
      </c>
      <c r="C5" s="947">
        <f>IF(C3="SI",'CET Vs Ecobonus'!E8,0)</f>
        <v>0</v>
      </c>
      <c r="D5" s="943"/>
      <c r="E5" s="948" t="s">
        <v>617</v>
      </c>
      <c r="F5" s="946" t="s">
        <v>13</v>
      </c>
      <c r="G5" s="947">
        <f>IF(G3="SI",'CET Vs Ecobonus'!J8,0)</f>
        <v>0</v>
      </c>
      <c r="H5" s="943"/>
      <c r="I5" s="944"/>
    </row>
    <row r="6" spans="1:9" s="623" customFormat="1" ht="6" customHeight="1" x14ac:dyDescent="0.25">
      <c r="A6" s="949"/>
      <c r="B6" s="950"/>
      <c r="C6" s="951">
        <f>IF((C5*0.65)&gt;30000,30000,C5*0.65)</f>
        <v>0</v>
      </c>
      <c r="D6" s="952"/>
      <c r="E6" s="953"/>
      <c r="F6" s="950"/>
      <c r="G6" s="951">
        <f>IF((G5*0.65)&gt;30000,30000,G5*0.65)</f>
        <v>0</v>
      </c>
      <c r="H6" s="952"/>
      <c r="I6" s="954"/>
    </row>
    <row r="7" spans="1:9" s="623" customFormat="1" ht="32.1" customHeight="1" x14ac:dyDescent="0.25">
      <c r="A7" s="945" t="s">
        <v>618</v>
      </c>
      <c r="B7" s="946" t="s">
        <v>13</v>
      </c>
      <c r="C7" s="947">
        <f>IF(C3="SI",'CET Vs Ecobonus'!Q23,0)</f>
        <v>0</v>
      </c>
      <c r="D7" s="952"/>
      <c r="E7" s="948" t="s">
        <v>618</v>
      </c>
      <c r="F7" s="946" t="s">
        <v>13</v>
      </c>
      <c r="G7" s="947">
        <f>IF(G3="SI",AVERAGE('CET Vs Ecobonus'!Q30,'CET Vs Ecobonus'!Q37,'CET Vs Ecobonus'!Q44),0)</f>
        <v>0</v>
      </c>
      <c r="H7" s="952"/>
      <c r="I7" s="954"/>
    </row>
    <row r="8" spans="1:9" s="623" customFormat="1" ht="6" customHeight="1" x14ac:dyDescent="0.25">
      <c r="A8" s="949"/>
      <c r="B8" s="950"/>
      <c r="C8" s="955"/>
      <c r="D8" s="952"/>
      <c r="E8" s="953"/>
      <c r="F8" s="950"/>
      <c r="G8" s="955"/>
      <c r="H8" s="952"/>
      <c r="I8" s="954"/>
    </row>
    <row r="9" spans="1:9" s="623" customFormat="1" ht="32.1" customHeight="1" thickBot="1" x14ac:dyDescent="0.3">
      <c r="A9" s="956" t="s">
        <v>667</v>
      </c>
      <c r="B9" s="957" t="s">
        <v>13</v>
      </c>
      <c r="C9" s="958">
        <f>IF(A11&lt;&gt;"","ERRORE",IF(C3="SI",'CET Vs Ecobonus'!R23,0))</f>
        <v>0</v>
      </c>
      <c r="D9" s="959"/>
      <c r="E9" s="960" t="s">
        <v>667</v>
      </c>
      <c r="F9" s="957" t="s">
        <v>13</v>
      </c>
      <c r="G9" s="958">
        <f>IF(E11&lt;&gt;"","ERRORE",IF(G3="SI",AVERAGE('CET Vs Ecobonus'!R30,'CET Vs Ecobonus'!R37,'CET Vs Ecobonus'!R44),0))</f>
        <v>0</v>
      </c>
      <c r="H9" s="959"/>
      <c r="I9" s="961"/>
    </row>
    <row r="10" spans="1:9" s="623" customFormat="1" ht="6" customHeight="1" x14ac:dyDescent="0.25">
      <c r="A10" s="953"/>
      <c r="B10" s="950"/>
      <c r="C10" s="962"/>
      <c r="D10" s="952"/>
      <c r="E10" s="953"/>
      <c r="F10" s="950"/>
      <c r="G10" s="962"/>
      <c r="H10" s="952"/>
      <c r="I10" s="952"/>
    </row>
    <row r="11" spans="1:9" s="623" customFormat="1" ht="32.1" customHeight="1" x14ac:dyDescent="0.25">
      <c r="A11" s="963" t="str">
        <f>IF(AND(C3="SI",C14="SI"),"ECOBONUS NON CUMULABILE CON CONTO ENERGIA TERMICO 2.0","")</f>
        <v/>
      </c>
      <c r="B11" s="950"/>
      <c r="C11" s="955"/>
      <c r="D11" s="964"/>
      <c r="E11" s="963" t="str">
        <f>IF(AND(G3="SI",G14="SI"),"ECOBONUS NON CUMULABILE CON CONTO ENERGIA TERMICO 2.0","")</f>
        <v/>
      </c>
      <c r="F11" s="950"/>
      <c r="G11" s="955"/>
      <c r="H11" s="964"/>
      <c r="I11" s="964"/>
    </row>
    <row r="12" spans="1:9" s="623" customFormat="1" ht="6" customHeight="1" x14ac:dyDescent="0.25">
      <c r="A12" s="953"/>
      <c r="B12" s="950"/>
      <c r="C12" s="955"/>
      <c r="D12" s="964"/>
      <c r="E12" s="953"/>
      <c r="F12" s="950"/>
      <c r="G12" s="955"/>
      <c r="H12" s="964"/>
      <c r="I12" s="964"/>
    </row>
    <row r="13" spans="1:9" s="623" customFormat="1" ht="32.1" customHeight="1" thickBot="1" x14ac:dyDescent="0.3">
      <c r="A13" s="953"/>
      <c r="B13" s="950"/>
      <c r="C13" s="955"/>
      <c r="D13" s="964"/>
      <c r="E13" s="953"/>
      <c r="F13" s="950"/>
      <c r="G13" s="955"/>
      <c r="H13" s="964"/>
      <c r="I13" s="964"/>
    </row>
    <row r="14" spans="1:9" s="623" customFormat="1" ht="31.5" customHeight="1" x14ac:dyDescent="0.25">
      <c r="A14" s="936" t="s">
        <v>619</v>
      </c>
      <c r="B14" s="937"/>
      <c r="C14" s="938" t="s">
        <v>284</v>
      </c>
      <c r="D14" s="965"/>
      <c r="E14" s="940" t="s">
        <v>619</v>
      </c>
      <c r="F14" s="937"/>
      <c r="G14" s="938" t="s">
        <v>284</v>
      </c>
      <c r="H14" s="965"/>
      <c r="I14" s="966"/>
    </row>
    <row r="15" spans="1:9" s="623" customFormat="1" ht="6" customHeight="1" x14ac:dyDescent="0.25">
      <c r="A15" s="942"/>
      <c r="B15" s="929"/>
      <c r="C15" s="934"/>
      <c r="D15" s="952"/>
      <c r="E15" s="934"/>
      <c r="F15" s="929"/>
      <c r="G15" s="934"/>
      <c r="H15" s="952"/>
      <c r="I15" s="954"/>
    </row>
    <row r="16" spans="1:9" s="623" customFormat="1" ht="32.1" customHeight="1" x14ac:dyDescent="0.25">
      <c r="A16" s="945" t="s">
        <v>621</v>
      </c>
      <c r="B16" s="929"/>
      <c r="C16" s="967" t="s">
        <v>622</v>
      </c>
      <c r="D16" s="952"/>
      <c r="E16" s="953"/>
      <c r="F16" s="950"/>
      <c r="G16" s="968"/>
      <c r="H16" s="952"/>
      <c r="I16" s="954"/>
    </row>
    <row r="17" spans="1:9" s="623" customFormat="1" ht="6" customHeight="1" x14ac:dyDescent="0.25">
      <c r="A17" s="942"/>
      <c r="B17" s="929"/>
      <c r="C17" s="934"/>
      <c r="D17" s="952"/>
      <c r="E17" s="934"/>
      <c r="F17" s="929"/>
      <c r="G17" s="934"/>
      <c r="H17" s="952"/>
      <c r="I17" s="954"/>
    </row>
    <row r="18" spans="1:9" s="623" customFormat="1" ht="32.1" customHeight="1" x14ac:dyDescent="0.25">
      <c r="A18" s="942"/>
      <c r="B18" s="929"/>
      <c r="C18" s="934"/>
      <c r="D18" s="952"/>
      <c r="E18" s="1359" t="s">
        <v>666</v>
      </c>
      <c r="F18" s="929"/>
      <c r="G18" s="969" t="s">
        <v>654</v>
      </c>
      <c r="H18" s="969" t="s">
        <v>656</v>
      </c>
      <c r="I18" s="970" t="s">
        <v>655</v>
      </c>
    </row>
    <row r="19" spans="1:9" s="623" customFormat="1" ht="32.1" customHeight="1" x14ac:dyDescent="0.25">
      <c r="A19" s="942"/>
      <c r="B19" s="929"/>
      <c r="C19" s="934"/>
      <c r="D19" s="952"/>
      <c r="E19" s="1360"/>
      <c r="F19" s="929"/>
      <c r="G19" s="1185"/>
      <c r="H19" s="1185"/>
      <c r="I19" s="1186"/>
    </row>
    <row r="20" spans="1:9" s="623" customFormat="1" ht="32.1" customHeight="1" x14ac:dyDescent="0.25">
      <c r="A20" s="942"/>
      <c r="B20" s="929"/>
      <c r="C20" s="934"/>
      <c r="D20" s="952"/>
      <c r="E20" s="1360"/>
      <c r="F20" s="929"/>
      <c r="G20" s="969" t="s">
        <v>658</v>
      </c>
      <c r="H20" s="969" t="s">
        <v>659</v>
      </c>
      <c r="I20" s="970" t="s">
        <v>660</v>
      </c>
    </row>
    <row r="21" spans="1:9" s="623" customFormat="1" ht="32.1" customHeight="1" x14ac:dyDescent="0.25">
      <c r="A21" s="942"/>
      <c r="B21" s="929"/>
      <c r="C21" s="934"/>
      <c r="D21" s="952"/>
      <c r="E21" s="1360"/>
      <c r="F21" s="929"/>
      <c r="G21" s="1187"/>
      <c r="H21" s="1187"/>
      <c r="I21" s="1188"/>
    </row>
    <row r="22" spans="1:9" s="623" customFormat="1" ht="6" customHeight="1" x14ac:dyDescent="0.25">
      <c r="A22" s="942"/>
      <c r="B22" s="929"/>
      <c r="C22" s="934"/>
      <c r="D22" s="952"/>
      <c r="E22" s="934"/>
      <c r="F22" s="929"/>
      <c r="G22" s="934"/>
      <c r="H22" s="952"/>
      <c r="I22" s="954"/>
    </row>
    <row r="23" spans="1:9" s="623" customFormat="1" ht="32.1" customHeight="1" x14ac:dyDescent="0.25">
      <c r="A23" s="945" t="s">
        <v>617</v>
      </c>
      <c r="B23" s="946" t="s">
        <v>13</v>
      </c>
      <c r="C23" s="971">
        <f>IF(C14="SI",'CET Vs Ecobonus'!E8,0)</f>
        <v>0</v>
      </c>
      <c r="D23" s="952"/>
      <c r="E23" s="948" t="s">
        <v>617</v>
      </c>
      <c r="F23" s="946" t="s">
        <v>13</v>
      </c>
      <c r="G23" s="971">
        <f>IF(G14="SI",'CET Vs Ecobonus'!J8,0)</f>
        <v>0</v>
      </c>
      <c r="H23" s="952"/>
      <c r="I23" s="954"/>
    </row>
    <row r="24" spans="1:9" s="623" customFormat="1" ht="6" customHeight="1" x14ac:dyDescent="0.25">
      <c r="A24" s="949"/>
      <c r="B24" s="950"/>
      <c r="C24" s="951"/>
      <c r="D24" s="952"/>
      <c r="E24" s="953"/>
      <c r="F24" s="950"/>
      <c r="G24" s="951"/>
      <c r="H24" s="952"/>
      <c r="I24" s="954"/>
    </row>
    <row r="25" spans="1:9" s="623" customFormat="1" ht="32.1" customHeight="1" x14ac:dyDescent="0.25">
      <c r="A25" s="945" t="s">
        <v>618</v>
      </c>
      <c r="B25" s="946" t="s">
        <v>13</v>
      </c>
      <c r="C25" s="972">
        <f>IF(C14="SI",'CET Vs Ecobonus'!N23,0)</f>
        <v>0</v>
      </c>
      <c r="D25" s="952"/>
      <c r="E25" s="948" t="s">
        <v>618</v>
      </c>
      <c r="F25" s="946" t="s">
        <v>13</v>
      </c>
      <c r="G25" s="972">
        <f>IF(G14="SI",IF('2-Dati generali-Cond. utilizzo'!$C$42=1,'CET Vs Ecobonus'!N30,IF('2-Dati generali-Cond. utilizzo'!$C$42=2,'CET Vs Ecobonus'!N30,IF('2-Dati generali-Cond. utilizzo'!$C$42=4,'CET Vs Ecobonus'!N37,IF('2-Dati generali-Cond. utilizzo'!$C$42=5,'CET Vs Ecobonus'!N44)))),0)</f>
        <v>0</v>
      </c>
      <c r="H25" s="952"/>
      <c r="I25" s="954"/>
    </row>
    <row r="26" spans="1:9" s="623" customFormat="1" ht="6" customHeight="1" x14ac:dyDescent="0.25">
      <c r="A26" s="949"/>
      <c r="B26" s="950"/>
      <c r="C26" s="955"/>
      <c r="D26" s="952"/>
      <c r="E26" s="953"/>
      <c r="F26" s="950"/>
      <c r="G26" s="955"/>
      <c r="H26" s="952"/>
      <c r="I26" s="954"/>
    </row>
    <row r="27" spans="1:9" s="623" customFormat="1" ht="32.1" customHeight="1" thickBot="1" x14ac:dyDescent="0.3">
      <c r="A27" s="956" t="s">
        <v>668</v>
      </c>
      <c r="B27" s="957" t="s">
        <v>13</v>
      </c>
      <c r="C27" s="973">
        <f>IF(A29&lt;&gt;"","ERRORE",IF(C14="SI",'CET Vs Ecobonus'!O23,0))</f>
        <v>0</v>
      </c>
      <c r="D27" s="959"/>
      <c r="E27" s="960" t="s">
        <v>668</v>
      </c>
      <c r="F27" s="957" t="s">
        <v>13</v>
      </c>
      <c r="G27" s="973">
        <f>IF(E29&lt;&gt;"","ERRORE",IF(G14="SI",IF('2-Dati generali-Cond. utilizzo'!$C$42=1,'CET Vs Ecobonus'!O30,IF('2-Dati generali-Cond. utilizzo'!$C$42=2,'CET Vs Ecobonus'!O30,IF('2-Dati generali-Cond. utilizzo'!$C$42=4,'CET Vs Ecobonus'!O37,IF('2-Dati generali-Cond. utilizzo'!$C$42=5,'CET Vs Ecobonus'!O44)))),0))</f>
        <v>0</v>
      </c>
      <c r="H27" s="959"/>
      <c r="I27" s="961"/>
    </row>
    <row r="28" spans="1:9" s="623" customFormat="1" ht="6" customHeight="1" x14ac:dyDescent="0.25">
      <c r="A28" s="953"/>
      <c r="B28" s="950"/>
      <c r="C28" s="962"/>
      <c r="D28" s="952"/>
      <c r="E28" s="953"/>
      <c r="F28" s="950"/>
      <c r="G28" s="962"/>
      <c r="H28" s="952"/>
      <c r="I28" s="952"/>
    </row>
    <row r="29" spans="1:9" s="623" customFormat="1" ht="32.1" customHeight="1" x14ac:dyDescent="0.25">
      <c r="A29" s="974" t="str">
        <f>IF(AND(C3="SI",C14="SI"),"CONTO ENERGIA TERMICO 2.0 NON CUMULABILE CON ECOBONUS","")</f>
        <v/>
      </c>
      <c r="B29" s="950"/>
      <c r="C29" s="955"/>
      <c r="D29" s="964"/>
      <c r="E29" s="974" t="str">
        <f>IF(AND(G3="SI",G14="SI"),"CONTO ENERGIA TERMICO 2.0 NON CUMULABILE CON ECOBONUS","")</f>
        <v/>
      </c>
      <c r="F29" s="950"/>
      <c r="G29" s="955"/>
      <c r="H29" s="964"/>
      <c r="I29" s="964"/>
    </row>
    <row r="30" spans="1:9" ht="6" customHeight="1" x14ac:dyDescent="0.25">
      <c r="A30" s="935"/>
      <c r="B30" s="930"/>
      <c r="C30" s="935"/>
      <c r="D30" s="928"/>
      <c r="E30" s="935"/>
      <c r="F30" s="930"/>
      <c r="G30" s="935"/>
      <c r="H30" s="928"/>
      <c r="I30" s="928"/>
    </row>
    <row r="31" spans="1:9" ht="32.1" customHeight="1" thickBot="1" x14ac:dyDescent="0.3">
      <c r="A31" s="935"/>
      <c r="B31" s="930"/>
      <c r="C31" s="935"/>
      <c r="D31" s="928"/>
      <c r="E31" s="935"/>
      <c r="F31" s="930"/>
      <c r="G31" s="935"/>
      <c r="H31" s="928"/>
      <c r="I31" s="928"/>
    </row>
    <row r="32" spans="1:9" s="623" customFormat="1" ht="31.5" customHeight="1" x14ac:dyDescent="0.25">
      <c r="A32" s="936" t="s">
        <v>736</v>
      </c>
      <c r="B32" s="937"/>
      <c r="C32" s="938" t="s">
        <v>284</v>
      </c>
      <c r="D32" s="965"/>
      <c r="E32" s="936" t="s">
        <v>736</v>
      </c>
      <c r="F32" s="937"/>
      <c r="G32" s="938" t="s">
        <v>284</v>
      </c>
      <c r="H32" s="965"/>
      <c r="I32" s="966"/>
    </row>
    <row r="33" spans="1:9" s="623" customFormat="1" ht="6" customHeight="1" x14ac:dyDescent="0.25">
      <c r="A33" s="942"/>
      <c r="B33" s="929"/>
      <c r="C33" s="934"/>
      <c r="D33" s="952"/>
      <c r="E33" s="934"/>
      <c r="F33" s="929"/>
      <c r="G33" s="934"/>
      <c r="H33" s="952"/>
      <c r="I33" s="954"/>
    </row>
    <row r="34" spans="1:9" s="623" customFormat="1" ht="32.1" customHeight="1" x14ac:dyDescent="0.25">
      <c r="A34" s="945" t="s">
        <v>737</v>
      </c>
      <c r="B34" s="946" t="s">
        <v>15</v>
      </c>
      <c r="C34" s="975">
        <v>0.1</v>
      </c>
      <c r="D34" s="952"/>
      <c r="E34" s="948" t="s">
        <v>737</v>
      </c>
      <c r="F34" s="946" t="s">
        <v>15</v>
      </c>
      <c r="G34" s="975">
        <v>0.1</v>
      </c>
      <c r="H34" s="952"/>
      <c r="I34" s="954"/>
    </row>
    <row r="35" spans="1:9" s="623" customFormat="1" ht="6" customHeight="1" x14ac:dyDescent="0.25">
      <c r="A35" s="949"/>
      <c r="B35" s="950"/>
      <c r="C35" s="951"/>
      <c r="D35" s="952"/>
      <c r="E35" s="953"/>
      <c r="F35" s="950"/>
      <c r="G35" s="951">
        <f>IF((G34*0.65)&gt;30000,30000,G34*0.65)</f>
        <v>6.5000000000000002E-2</v>
      </c>
      <c r="H35" s="952"/>
      <c r="I35" s="954"/>
    </row>
    <row r="36" spans="1:9" s="623" customFormat="1" ht="32.1" customHeight="1" thickBot="1" x14ac:dyDescent="0.3">
      <c r="A36" s="956" t="s">
        <v>618</v>
      </c>
      <c r="B36" s="957" t="s">
        <v>13</v>
      </c>
      <c r="C36" s="1183">
        <f>IF(C32="SI",('CET Vs Ecobonus'!E8*'4bis-Incentivi'!C34),0)</f>
        <v>0</v>
      </c>
      <c r="D36" s="1184"/>
      <c r="E36" s="960" t="s">
        <v>618</v>
      </c>
      <c r="F36" s="957" t="s">
        <v>13</v>
      </c>
      <c r="G36" s="1183">
        <f>IF(G32="SI",('CET Vs Ecobonus'!J8*'4bis-Incentivi'!G34),0)</f>
        <v>0</v>
      </c>
      <c r="H36" s="959"/>
      <c r="I36" s="961"/>
    </row>
    <row r="37" spans="1:9" ht="6" customHeight="1" x14ac:dyDescent="0.25">
      <c r="A37" s="652"/>
      <c r="B37" s="352"/>
      <c r="C37" s="652"/>
      <c r="D37" s="350"/>
      <c r="E37" s="652"/>
      <c r="F37" s="352"/>
      <c r="G37" s="652"/>
      <c r="H37" s="350"/>
      <c r="I37" s="350"/>
    </row>
    <row r="38" spans="1:9" ht="32.1" customHeight="1" x14ac:dyDescent="0.25">
      <c r="A38" s="652"/>
      <c r="B38" s="352"/>
      <c r="C38" s="652"/>
      <c r="D38" s="350"/>
      <c r="E38" s="652"/>
      <c r="F38" s="352"/>
      <c r="G38" s="652"/>
      <c r="H38" s="350"/>
      <c r="I38" s="350"/>
    </row>
    <row r="39" spans="1:9" ht="6" customHeight="1" x14ac:dyDescent="0.25">
      <c r="A39" s="652"/>
      <c r="B39" s="352"/>
      <c r="C39" s="652"/>
      <c r="D39" s="350"/>
      <c r="E39" s="652"/>
      <c r="F39" s="352"/>
      <c r="G39" s="652"/>
      <c r="H39" s="350"/>
      <c r="I39" s="350"/>
    </row>
    <row r="40" spans="1:9" ht="32.1" customHeight="1" thickBot="1" x14ac:dyDescent="0.3">
      <c r="A40" s="652"/>
      <c r="B40" s="352"/>
      <c r="C40" s="652"/>
      <c r="D40" s="350"/>
      <c r="E40" s="652"/>
      <c r="F40" s="352"/>
      <c r="G40" s="652"/>
      <c r="H40" s="350"/>
      <c r="I40" s="350"/>
    </row>
    <row r="41" spans="1:9" ht="27.95" customHeight="1" x14ac:dyDescent="0.25">
      <c r="A41" s="936" t="s">
        <v>739</v>
      </c>
      <c r="B41" s="937"/>
      <c r="C41" s="938" t="s">
        <v>284</v>
      </c>
      <c r="D41" s="939"/>
      <c r="E41" s="940" t="s">
        <v>616</v>
      </c>
      <c r="F41" s="937"/>
      <c r="G41" s="938" t="s">
        <v>284</v>
      </c>
      <c r="H41" s="939"/>
      <c r="I41" s="941"/>
    </row>
    <row r="42" spans="1:9" ht="6" customHeight="1" x14ac:dyDescent="0.25">
      <c r="A42" s="942"/>
      <c r="B42" s="929"/>
      <c r="C42" s="934"/>
      <c r="D42" s="943"/>
      <c r="E42" s="934"/>
      <c r="F42" s="929"/>
      <c r="G42" s="934"/>
      <c r="H42" s="943"/>
      <c r="I42" s="944"/>
    </row>
    <row r="43" spans="1:9" ht="32.1" customHeight="1" x14ac:dyDescent="0.25">
      <c r="A43" s="945" t="s">
        <v>617</v>
      </c>
      <c r="B43" s="946" t="s">
        <v>13</v>
      </c>
      <c r="C43" s="947">
        <f>IF(C41="SI",'CET Vs Ecobonus'!E8,0)</f>
        <v>0</v>
      </c>
      <c r="D43" s="943"/>
      <c r="E43" s="948" t="s">
        <v>617</v>
      </c>
      <c r="F43" s="946" t="s">
        <v>13</v>
      </c>
      <c r="G43" s="947">
        <f>IF(G41="SI",'CET Vs Ecobonus'!J8,0)</f>
        <v>0</v>
      </c>
      <c r="H43" s="943"/>
      <c r="I43" s="944"/>
    </row>
    <row r="44" spans="1:9" s="623" customFormat="1" ht="6" customHeight="1" x14ac:dyDescent="0.25">
      <c r="A44" s="949"/>
      <c r="B44" s="950"/>
      <c r="C44" s="951">
        <f>IF((C43*0.65)&gt;30000,30000,C43*0.65)</f>
        <v>0</v>
      </c>
      <c r="D44" s="952"/>
      <c r="E44" s="953"/>
      <c r="F44" s="950"/>
      <c r="G44" s="951">
        <f>IF((G43*0.65)&gt;30000,30000,G43*0.65)</f>
        <v>0</v>
      </c>
      <c r="H44" s="952"/>
      <c r="I44" s="954"/>
    </row>
    <row r="45" spans="1:9" s="623" customFormat="1" ht="32.1" customHeight="1" x14ac:dyDescent="0.25">
      <c r="A45" s="945" t="s">
        <v>618</v>
      </c>
      <c r="B45" s="946" t="s">
        <v>13</v>
      </c>
      <c r="C45" s="947">
        <f>IF(C41="SI",'CET Vs Ecobonus'!U23,0)</f>
        <v>0</v>
      </c>
      <c r="D45" s="952"/>
      <c r="E45" s="948" t="s">
        <v>618</v>
      </c>
      <c r="F45" s="946" t="s">
        <v>13</v>
      </c>
      <c r="G45" s="947">
        <f>IF(G41="SI",AVERAGE('CET Vs Ecobonus'!U30,'CET Vs Ecobonus'!U37,'CET Vs Ecobonus'!U44),0)</f>
        <v>0</v>
      </c>
      <c r="H45" s="952"/>
      <c r="I45" s="954"/>
    </row>
    <row r="46" spans="1:9" s="623" customFormat="1" ht="6" customHeight="1" x14ac:dyDescent="0.25">
      <c r="A46" s="949"/>
      <c r="B46" s="950"/>
      <c r="C46" s="955"/>
      <c r="D46" s="952"/>
      <c r="E46" s="953"/>
      <c r="F46" s="950"/>
      <c r="G46" s="955"/>
      <c r="H46" s="952"/>
      <c r="I46" s="954"/>
    </row>
    <row r="47" spans="1:9" s="623" customFormat="1" ht="32.1" customHeight="1" thickBot="1" x14ac:dyDescent="0.3">
      <c r="A47" s="956" t="s">
        <v>748</v>
      </c>
      <c r="B47" s="957" t="s">
        <v>13</v>
      </c>
      <c r="C47" s="958">
        <f>IF(A49&lt;&gt;"","ERRORE",IF(C41="SI",'CET Vs Ecobonus'!V23,0))</f>
        <v>0</v>
      </c>
      <c r="D47" s="959"/>
      <c r="E47" s="960" t="s">
        <v>748</v>
      </c>
      <c r="F47" s="957" t="s">
        <v>13</v>
      </c>
      <c r="G47" s="958">
        <f>IF(E49&lt;&gt;"","ERRORE",IF(G41="SI",AVERAGE('CET Vs Ecobonus'!V30,'CET Vs Ecobonus'!V37,'CET Vs Ecobonus'!V44),0))</f>
        <v>0</v>
      </c>
      <c r="H47" s="959"/>
      <c r="I47" s="961"/>
    </row>
    <row r="48" spans="1:9" s="623" customFormat="1" ht="6" customHeight="1" x14ac:dyDescent="0.25">
      <c r="A48" s="953"/>
      <c r="B48" s="950"/>
      <c r="C48" s="962"/>
      <c r="D48" s="952"/>
      <c r="E48" s="953"/>
      <c r="F48" s="950"/>
      <c r="G48" s="962"/>
      <c r="H48" s="952"/>
      <c r="I48" s="952"/>
    </row>
    <row r="49" spans="1:9" s="623" customFormat="1" ht="32.1" customHeight="1" x14ac:dyDescent="0.25">
      <c r="A49" s="963" t="str">
        <f>IF(AND(C41="SI",C52="SI"),"ECOBONUS NON CUMULABILE CON CONTO ENERGIA TERMICO 2.0","")</f>
        <v/>
      </c>
      <c r="B49" s="950"/>
      <c r="C49" s="955"/>
      <c r="D49" s="964"/>
      <c r="E49" s="963" t="str">
        <f>IF(AND(G41="SI",G52="SI"),"ECOBONUS NON CUMULABILE CON CONTO ENERGIA TERMICO 2.0","")</f>
        <v/>
      </c>
      <c r="F49" s="950"/>
      <c r="G49" s="955"/>
      <c r="H49" s="964"/>
      <c r="I49" s="964"/>
    </row>
    <row r="50" spans="1:9" ht="32.1" customHeight="1" x14ac:dyDescent="0.25">
      <c r="A50" s="652"/>
      <c r="B50" s="352"/>
      <c r="C50" s="652"/>
      <c r="D50" s="350"/>
      <c r="E50" s="652"/>
      <c r="F50" s="352"/>
      <c r="G50" s="652"/>
      <c r="H50" s="350"/>
      <c r="I50" s="350"/>
    </row>
    <row r="51" spans="1:9" ht="32.1" customHeight="1" x14ac:dyDescent="0.25">
      <c r="A51" s="652"/>
      <c r="B51" s="352"/>
      <c r="C51" s="652"/>
      <c r="D51" s="350"/>
      <c r="E51" s="652"/>
      <c r="F51" s="352"/>
      <c r="G51" s="652"/>
      <c r="H51" s="350"/>
      <c r="I51" s="350"/>
    </row>
    <row r="52" spans="1:9" ht="32.1" customHeight="1" x14ac:dyDescent="0.25">
      <c r="A52" s="652"/>
      <c r="B52" s="352"/>
      <c r="C52" s="652"/>
      <c r="D52" s="350"/>
      <c r="E52" s="652"/>
      <c r="F52" s="352"/>
      <c r="G52" s="652"/>
      <c r="H52" s="350"/>
      <c r="I52" s="350"/>
    </row>
    <row r="53" spans="1:9" ht="32.1" customHeight="1" x14ac:dyDescent="0.25">
      <c r="A53" s="652"/>
      <c r="B53" s="352"/>
      <c r="C53" s="652"/>
      <c r="D53" s="350"/>
      <c r="E53" s="652"/>
      <c r="F53" s="352"/>
      <c r="G53" s="652"/>
      <c r="H53" s="350"/>
      <c r="I53" s="350"/>
    </row>
    <row r="54" spans="1:9" ht="32.1" customHeight="1" x14ac:dyDescent="0.25">
      <c r="A54" s="652"/>
      <c r="B54" s="352"/>
      <c r="C54" s="652"/>
      <c r="D54" s="350"/>
      <c r="E54" s="652"/>
      <c r="F54" s="352"/>
      <c r="G54" s="652"/>
      <c r="H54" s="350"/>
      <c r="I54" s="350"/>
    </row>
    <row r="55" spans="1:9" ht="32.1" customHeight="1" x14ac:dyDescent="0.25">
      <c r="A55" s="652"/>
      <c r="B55" s="352"/>
      <c r="C55" s="652"/>
      <c r="D55" s="350"/>
      <c r="E55" s="652"/>
      <c r="F55" s="352"/>
      <c r="G55" s="652"/>
      <c r="H55" s="350"/>
      <c r="I55" s="350"/>
    </row>
    <row r="56" spans="1:9" ht="32.1" customHeight="1" x14ac:dyDescent="0.25">
      <c r="A56" s="652"/>
      <c r="B56" s="352"/>
      <c r="C56" s="652"/>
      <c r="D56" s="350"/>
      <c r="E56" s="652"/>
      <c r="F56" s="352"/>
      <c r="G56" s="652"/>
      <c r="H56" s="350"/>
      <c r="I56" s="350"/>
    </row>
    <row r="57" spans="1:9" x14ac:dyDescent="0.25">
      <c r="A57" s="350"/>
      <c r="B57" s="580"/>
      <c r="E57" s="350"/>
      <c r="F57" s="580"/>
    </row>
    <row r="58" spans="1:9" x14ac:dyDescent="0.25">
      <c r="A58" s="350"/>
      <c r="B58" s="580"/>
      <c r="C58" s="350"/>
      <c r="E58" s="350"/>
      <c r="F58" s="580"/>
      <c r="G58" s="350"/>
    </row>
    <row r="59" spans="1:9" x14ac:dyDescent="0.25">
      <c r="A59" s="350"/>
      <c r="B59" s="580"/>
      <c r="C59" s="350"/>
      <c r="E59" s="350"/>
      <c r="F59" s="580"/>
      <c r="G59" s="350"/>
    </row>
    <row r="60" spans="1:9" x14ac:dyDescent="0.25">
      <c r="A60" s="653" t="s">
        <v>648</v>
      </c>
      <c r="B60" s="654" t="s">
        <v>549</v>
      </c>
      <c r="C60" s="350"/>
      <c r="E60" s="653"/>
      <c r="F60" s="654"/>
      <c r="G60" s="350"/>
    </row>
    <row r="61" spans="1:9" x14ac:dyDescent="0.25">
      <c r="A61" s="350"/>
      <c r="B61" s="654" t="s">
        <v>284</v>
      </c>
      <c r="C61" s="350"/>
      <c r="E61" s="350"/>
      <c r="F61" s="654"/>
      <c r="G61" s="350"/>
    </row>
  </sheetData>
  <mergeCells count="3">
    <mergeCell ref="A1:C1"/>
    <mergeCell ref="E1:G1"/>
    <mergeCell ref="E18:E21"/>
  </mergeCells>
  <dataValidations count="1">
    <dataValidation type="list" allowBlank="1" showInputMessage="1" showErrorMessage="1" sqref="C3 G41 C41 G32 G14 G3 C32 C14">
      <formula1>$B$60:$B$61</formula1>
    </dataValidation>
  </dataValidations>
  <printOptions horizontalCentered="1"/>
  <pageMargins left="0.15748031496062992" right="0.15748031496062992" top="0.98425196850393704" bottom="0.98425196850393704" header="0.51181102362204722" footer="0.51181102362204722"/>
  <pageSetup paperSize="9" scale="75" orientation="landscape" horizontalDpi="3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'CET Vs Ecobonus'!$B$50:$B$56</xm:f>
          </x14:formula1>
          <xm:sqref>C16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56"/>
  <sheetViews>
    <sheetView topLeftCell="F13" zoomScale="85" zoomScaleNormal="85" workbookViewId="0">
      <selection activeCell="U30" sqref="U30:U32"/>
    </sheetView>
  </sheetViews>
  <sheetFormatPr defaultRowHeight="15" x14ac:dyDescent="0.25"/>
  <cols>
    <col min="1" max="1" width="13" style="624" customWidth="1"/>
    <col min="2" max="2" width="4.75" style="624" customWidth="1"/>
    <col min="3" max="3" width="13.625" style="624" bestFit="1" customWidth="1"/>
    <col min="4" max="4" width="12.625" style="624" bestFit="1" customWidth="1"/>
    <col min="5" max="5" width="17.5" style="624" bestFit="1" customWidth="1"/>
    <col min="6" max="6" width="9" style="624"/>
    <col min="7" max="7" width="8.5" style="624" bestFit="1" customWidth="1"/>
    <col min="8" max="8" width="9" style="624"/>
    <col min="9" max="9" width="8.5" style="624" bestFit="1" customWidth="1"/>
    <col min="10" max="10" width="8.25" style="624" bestFit="1" customWidth="1"/>
    <col min="11" max="13" width="9" style="624"/>
    <col min="14" max="14" width="13.5" style="624" bestFit="1" customWidth="1"/>
    <col min="15" max="15" width="13.25" style="624" bestFit="1" customWidth="1"/>
    <col min="16" max="16" width="9" style="624"/>
    <col min="17" max="17" width="10.75" style="624" bestFit="1" customWidth="1"/>
    <col min="18" max="18" width="14.625" style="624" bestFit="1" customWidth="1"/>
    <col min="19" max="19" width="10.75" style="624" bestFit="1" customWidth="1"/>
    <col min="20" max="20" width="14.625" style="624" bestFit="1" customWidth="1"/>
    <col min="21" max="21" width="10.75" style="624" bestFit="1" customWidth="1"/>
    <col min="22" max="22" width="14.625" style="624" bestFit="1" customWidth="1"/>
    <col min="23" max="29" width="9" style="624"/>
    <col min="30" max="16384" width="9" style="647"/>
  </cols>
  <sheetData>
    <row r="1" spans="3:20" ht="15.75" thickBot="1" x14ac:dyDescent="0.3">
      <c r="T1" s="625"/>
    </row>
    <row r="2" spans="3:20" ht="19.5" thickBot="1" x14ac:dyDescent="0.3">
      <c r="C2" s="1415" t="s">
        <v>620</v>
      </c>
      <c r="D2" s="1416"/>
      <c r="E2" s="1416"/>
      <c r="F2" s="1416"/>
      <c r="G2" s="1404"/>
      <c r="H2" s="1404"/>
      <c r="I2" s="1404"/>
      <c r="J2" s="1404"/>
      <c r="K2" s="1405"/>
      <c r="T2" s="625"/>
    </row>
    <row r="3" spans="3:20" ht="15.75" thickBot="1" x14ac:dyDescent="0.3">
      <c r="C3" s="1425" t="s">
        <v>621</v>
      </c>
      <c r="D3" s="1426"/>
      <c r="E3" s="1426" t="str">
        <f>'4bis-Incentivi'!C16</f>
        <v>-</v>
      </c>
      <c r="F3" s="1427"/>
      <c r="G3" s="1196"/>
      <c r="H3" s="1196"/>
      <c r="I3" s="1194"/>
      <c r="J3" s="1194"/>
      <c r="K3" s="1195"/>
    </row>
    <row r="4" spans="3:20" ht="15.75" thickBot="1" x14ac:dyDescent="0.3">
      <c r="C4" s="1428" t="s">
        <v>742</v>
      </c>
      <c r="D4" s="1426"/>
      <c r="E4" s="1426">
        <f>'2-Dati generali-Cond. utilizzo'!C9</f>
        <v>1</v>
      </c>
      <c r="F4" s="1427"/>
      <c r="G4" s="625"/>
      <c r="H4" s="1429"/>
      <c r="I4" s="1430"/>
      <c r="J4" s="1430"/>
      <c r="K4" s="1431"/>
    </row>
    <row r="5" spans="3:20" ht="16.5" thickBot="1" x14ac:dyDescent="0.3">
      <c r="C5" s="672"/>
      <c r="D5" s="673"/>
      <c r="E5" s="1406" t="s">
        <v>744</v>
      </c>
      <c r="F5" s="1407"/>
      <c r="G5" s="625"/>
      <c r="H5" s="1417" t="s">
        <v>745</v>
      </c>
      <c r="I5" s="1418"/>
      <c r="J5" s="1419"/>
      <c r="K5" s="1420"/>
    </row>
    <row r="6" spans="3:20" x14ac:dyDescent="0.25">
      <c r="C6" s="1421" t="s">
        <v>623</v>
      </c>
      <c r="D6" s="1422"/>
      <c r="E6" s="1423">
        <f>('4-Costi sistemi'!C14*'4-Costi sistemi'!C18)+('4-Costi sistemi'!D14*'4-Costi sistemi'!D18)+('4-Costi sistemi'!E14*'4-Costi sistemi'!E18)</f>
        <v>0</v>
      </c>
      <c r="F6" s="1424"/>
      <c r="H6" s="1421" t="s">
        <v>623</v>
      </c>
      <c r="I6" s="1422"/>
      <c r="J6" s="1423">
        <f>('4-Costi sistemi'!G14*'4-Costi sistemi'!G18)+('4-Costi sistemi'!H14*'4-Costi sistemi'!H18)+('4-Costi sistemi'!I14*'4-Costi sistemi'!I18)</f>
        <v>0</v>
      </c>
      <c r="K6" s="1424"/>
    </row>
    <row r="7" spans="3:20" x14ac:dyDescent="0.25">
      <c r="C7" s="1373" t="s">
        <v>624</v>
      </c>
      <c r="D7" s="1394"/>
      <c r="E7" s="1395">
        <f>'4-Costi sistemi'!C15+'4-Costi sistemi'!C19</f>
        <v>0</v>
      </c>
      <c r="F7" s="1396"/>
      <c r="H7" s="1373" t="s">
        <v>624</v>
      </c>
      <c r="I7" s="1394"/>
      <c r="J7" s="1395">
        <f>'4-Costi sistemi'!G15+'4-Costi sistemi'!G19</f>
        <v>0</v>
      </c>
      <c r="K7" s="1396"/>
    </row>
    <row r="8" spans="3:20" ht="15.75" thickBot="1" x14ac:dyDescent="0.3">
      <c r="C8" s="1375" t="s">
        <v>625</v>
      </c>
      <c r="D8" s="1409"/>
      <c r="E8" s="1410">
        <f>E6+E7</f>
        <v>0</v>
      </c>
      <c r="F8" s="1411"/>
      <c r="H8" s="1375" t="s">
        <v>625</v>
      </c>
      <c r="I8" s="1409"/>
      <c r="J8" s="1410">
        <f>J6+J7</f>
        <v>0</v>
      </c>
      <c r="K8" s="1411"/>
    </row>
    <row r="9" spans="3:20" ht="15.75" thickBot="1" x14ac:dyDescent="0.3"/>
    <row r="10" spans="3:20" ht="19.5" thickBot="1" x14ac:dyDescent="0.3">
      <c r="C10" s="1402" t="s">
        <v>626</v>
      </c>
      <c r="D10" s="1403"/>
      <c r="E10" s="1403"/>
      <c r="F10" s="1403"/>
      <c r="G10" s="1404"/>
      <c r="H10" s="1404"/>
      <c r="I10" s="1405"/>
      <c r="M10" s="625"/>
      <c r="N10" s="625"/>
    </row>
    <row r="11" spans="3:20" ht="19.5" thickBot="1" x14ac:dyDescent="0.3">
      <c r="C11" s="663"/>
      <c r="D11" s="664"/>
      <c r="E11" s="1406" t="s">
        <v>662</v>
      </c>
      <c r="F11" s="1407"/>
      <c r="G11" s="625"/>
      <c r="H11" s="1406" t="s">
        <v>657</v>
      </c>
      <c r="I11" s="1408"/>
      <c r="M11" s="625"/>
      <c r="N11" s="625"/>
    </row>
    <row r="12" spans="3:20" ht="15.75" thickBot="1" x14ac:dyDescent="0.3">
      <c r="C12" s="661" t="s">
        <v>627</v>
      </c>
      <c r="D12" s="665" t="s">
        <v>288</v>
      </c>
      <c r="E12" s="661" t="s">
        <v>628</v>
      </c>
      <c r="F12" s="662" t="s">
        <v>17</v>
      </c>
      <c r="G12" s="625"/>
      <c r="H12" s="661" t="s">
        <v>628</v>
      </c>
      <c r="I12" s="662" t="s">
        <v>17</v>
      </c>
      <c r="M12" s="625"/>
      <c r="N12" s="625"/>
    </row>
    <row r="13" spans="3:20" x14ac:dyDescent="0.25">
      <c r="C13" s="1412" t="s">
        <v>629</v>
      </c>
      <c r="D13" s="666" t="s">
        <v>644</v>
      </c>
      <c r="E13" s="669">
        <v>0.15</v>
      </c>
      <c r="F13" s="640">
        <v>2</v>
      </c>
      <c r="H13" s="669">
        <v>0.12</v>
      </c>
      <c r="I13" s="640">
        <v>2</v>
      </c>
      <c r="M13" s="625"/>
      <c r="N13" s="625"/>
    </row>
    <row r="14" spans="3:20" x14ac:dyDescent="0.25">
      <c r="C14" s="1413"/>
      <c r="D14" s="667" t="s">
        <v>630</v>
      </c>
      <c r="E14" s="670">
        <v>4.4999999999999998E-2</v>
      </c>
      <c r="F14" s="641">
        <v>5</v>
      </c>
      <c r="H14" s="670">
        <v>4.4999999999999998E-2</v>
      </c>
      <c r="I14" s="641">
        <v>5</v>
      </c>
      <c r="M14" s="625"/>
      <c r="N14" s="625"/>
    </row>
    <row r="15" spans="3:20" x14ac:dyDescent="0.25">
      <c r="C15" s="1413" t="s">
        <v>27</v>
      </c>
      <c r="D15" s="667" t="s">
        <v>644</v>
      </c>
      <c r="E15" s="670">
        <v>0.15</v>
      </c>
      <c r="F15" s="641">
        <v>2</v>
      </c>
      <c r="H15" s="670">
        <v>0.11</v>
      </c>
      <c r="I15" s="641">
        <v>2</v>
      </c>
      <c r="M15" s="625"/>
      <c r="N15" s="625"/>
    </row>
    <row r="16" spans="3:20" ht="15.75" thickBot="1" x14ac:dyDescent="0.3">
      <c r="C16" s="1414"/>
      <c r="D16" s="668" t="s">
        <v>630</v>
      </c>
      <c r="E16" s="671">
        <v>4.4999999999999998E-2</v>
      </c>
      <c r="F16" s="642">
        <v>5</v>
      </c>
      <c r="H16" s="671">
        <v>4.4999999999999998E-2</v>
      </c>
      <c r="I16" s="642">
        <v>5</v>
      </c>
      <c r="M16" s="625"/>
      <c r="N16" s="625"/>
    </row>
    <row r="17" spans="1:22" x14ac:dyDescent="0.25">
      <c r="J17" s="625"/>
      <c r="K17" s="625"/>
      <c r="L17" s="625"/>
      <c r="M17" s="625"/>
    </row>
    <row r="18" spans="1:22" x14ac:dyDescent="0.25">
      <c r="J18" s="625"/>
      <c r="K18" s="625"/>
      <c r="L18" s="625"/>
      <c r="M18" s="625"/>
    </row>
    <row r="19" spans="1:22" x14ac:dyDescent="0.25">
      <c r="J19" s="625"/>
      <c r="K19" s="625"/>
      <c r="L19" s="625"/>
      <c r="M19" s="625"/>
    </row>
    <row r="20" spans="1:22" ht="15.75" thickBot="1" x14ac:dyDescent="0.3"/>
    <row r="21" spans="1:22" ht="18.95" customHeight="1" x14ac:dyDescent="0.25">
      <c r="B21" s="629"/>
      <c r="C21" s="1397" t="s">
        <v>631</v>
      </c>
      <c r="D21" s="1398"/>
      <c r="E21" s="1398"/>
      <c r="F21" s="1398"/>
      <c r="G21" s="1398"/>
      <c r="H21" s="1398"/>
      <c r="I21" s="1398"/>
      <c r="J21" s="1398"/>
      <c r="K21" s="1398"/>
      <c r="L21" s="1398"/>
      <c r="M21" s="1398"/>
      <c r="N21" s="1398"/>
      <c r="O21" s="1399"/>
      <c r="P21" s="630"/>
      <c r="Q21" s="1400" t="s">
        <v>632</v>
      </c>
      <c r="R21" s="1401"/>
      <c r="U21" s="1400" t="s">
        <v>740</v>
      </c>
      <c r="V21" s="1401"/>
    </row>
    <row r="22" spans="1:22" ht="16.5" thickBot="1" x14ac:dyDescent="0.3">
      <c r="B22" s="629"/>
      <c r="C22" s="1369" t="s">
        <v>645</v>
      </c>
      <c r="D22" s="1370"/>
      <c r="E22" s="632" t="s">
        <v>576</v>
      </c>
      <c r="F22" s="632" t="s">
        <v>633</v>
      </c>
      <c r="G22" s="632" t="s">
        <v>634</v>
      </c>
      <c r="H22" s="632" t="s">
        <v>72</v>
      </c>
      <c r="I22" s="632" t="s">
        <v>635</v>
      </c>
      <c r="J22" s="632" t="s">
        <v>636</v>
      </c>
      <c r="K22" s="632" t="s">
        <v>637</v>
      </c>
      <c r="L22" s="632" t="s">
        <v>638</v>
      </c>
      <c r="M22" s="1392" t="s">
        <v>639</v>
      </c>
      <c r="N22" s="1393"/>
      <c r="O22" s="633" t="s">
        <v>640</v>
      </c>
      <c r="P22" s="629"/>
      <c r="Q22" s="631" t="s">
        <v>641</v>
      </c>
      <c r="R22" s="633" t="s">
        <v>642</v>
      </c>
      <c r="U22" s="631" t="s">
        <v>641</v>
      </c>
      <c r="V22" s="633" t="s">
        <v>642</v>
      </c>
    </row>
    <row r="23" spans="1:22" ht="15.75" x14ac:dyDescent="0.25">
      <c r="A23" s="655" t="s">
        <v>649</v>
      </c>
      <c r="B23" s="1389" t="s">
        <v>314</v>
      </c>
      <c r="C23" s="1371">
        <f>INDEX(Tabella_caratteristiche_ghp,'3-Caratteristiche dei sistemi'!C80,1)</f>
        <v>0</v>
      </c>
      <c r="D23" s="1372"/>
      <c r="E23" s="635">
        <f>'3-Caratteristiche dei sistemi'!E10</f>
        <v>0</v>
      </c>
      <c r="F23" s="626">
        <f>'3-Caratteristiche dei sistemi'!E16</f>
        <v>0</v>
      </c>
      <c r="G23" s="1380">
        <f>IF(SUM(E23:E25)&gt;0,SUM(F23:F25),0)</f>
        <v>0</v>
      </c>
      <c r="H23" s="635">
        <f>IF(E23&gt;0,LOOKUP($E$3,$B$50:$B$56,$C$50:$C$56),0)</f>
        <v>0</v>
      </c>
      <c r="I23" s="635">
        <f>IF($G$23&gt;0,F23*H23,0)</f>
        <v>0</v>
      </c>
      <c r="J23" s="626">
        <f>INDEX(Tabella_caratteristiche_ghp,'3-Caratteristiche dei sistemi'!C80,15)</f>
        <v>0</v>
      </c>
      <c r="K23" s="635">
        <f>IF(E23&gt;0,I23*(1-(1/(J23/0.46))),0)</f>
        <v>0</v>
      </c>
      <c r="L23" s="1383">
        <f>SUM(K23:K25)</f>
        <v>0</v>
      </c>
      <c r="M23" s="649">
        <f>IF('3-Caratteristiche dei sistemi'!C80&lt;7,(IF($G$23&lt;35,IF(($E$6+$E$7)&lt;&gt;0,(IF(K23*$E$13*$F$13&gt;$E$8*0.65,$E$8*0.65/$F$13,K23*$E$13)),K23*$E$13),IF(($E$6+$E$7)&lt;&gt;0,(IF(K23*$E$14*$F$14&gt;$E$8*0.65,$E$8*0.65/$F$14,K23*$E$14)),K23*$E$14))),(IF($G$23&lt;35,IF(($E$6+$E$7)&lt;&gt;0,(IF(K23*$E$15*$F$15&gt;$E$8*0.65,$E$8*0.65/$F$15,K23*$E$15)),K23*$E$15),IF(($E$6+$E$7)&lt;&gt;0,(IF(K23*$E$16*$F$16&gt;$E$8*0.65,$E$8*0.65/$F$16,K23*$E$16)),K23*$E$16))))</f>
        <v>0</v>
      </c>
      <c r="N23" s="1386">
        <f>SUM(M23:M25)</f>
        <v>0</v>
      </c>
      <c r="O23" s="1361">
        <f>IF($G$23&lt;35,N23*F13,N23*F14)</f>
        <v>0</v>
      </c>
      <c r="P23" s="648"/>
      <c r="Q23" s="1364">
        <f>IF(G23&gt;0,IF($E$8*0.65&gt;30000*E4,30000*E4/10,$E$8*0.65/10),0)</f>
        <v>0</v>
      </c>
      <c r="R23" s="1361">
        <f>Q23*10</f>
        <v>0</v>
      </c>
      <c r="U23" s="1364">
        <f>IF(G23&gt;0,IF($E$8*1.1&gt;IF($E$4&lt;9,20000*$E$4,(20000*$E$4)+(15000*($E$4-8))),(IF($E$4&lt;9,20000*$E$4,(20000*$E$4)+(15000*($E$4-8))))/5,$E$8*1.1/5),0)</f>
        <v>0</v>
      </c>
      <c r="V23" s="1361">
        <f>U23*5</f>
        <v>0</v>
      </c>
    </row>
    <row r="24" spans="1:22" ht="15.75" x14ac:dyDescent="0.25">
      <c r="A24" s="655" t="s">
        <v>651</v>
      </c>
      <c r="B24" s="1390"/>
      <c r="C24" s="1373">
        <f>INDEX(Tabella_caratteristiche_ghp,'3-Caratteristiche dei sistemi'!D80,1)</f>
        <v>0</v>
      </c>
      <c r="D24" s="1374"/>
      <c r="E24" s="636">
        <f>'3-Caratteristiche dei sistemi'!F10</f>
        <v>0</v>
      </c>
      <c r="F24" s="627">
        <f>'3-Caratteristiche dei sistemi'!F16</f>
        <v>0</v>
      </c>
      <c r="G24" s="1381"/>
      <c r="H24" s="636">
        <f>IF(E24&gt;0,LOOKUP($E$3,$B$50:$B$56,$C$50:$C$56),0)</f>
        <v>0</v>
      </c>
      <c r="I24" s="636">
        <f>IF($G$23&gt;0,F24*H24,0)</f>
        <v>0</v>
      </c>
      <c r="J24" s="627">
        <f>INDEX(Tabella_caratteristiche_ghp,'3-Caratteristiche dei sistemi'!D80,15)</f>
        <v>0</v>
      </c>
      <c r="K24" s="636">
        <f>IF(E24&gt;0,I24*(1-(1/(J24/0.46))),0)</f>
        <v>0</v>
      </c>
      <c r="L24" s="1384"/>
      <c r="M24" s="650">
        <f>IF('3-Caratteristiche dei sistemi'!D80&lt;7,(IF($G$23&lt;35,IF(($E$6+$E$7)&lt;&gt;0,(IF(K24*$E$13*$F$13&gt;$E$8*0.65,$E$8*0.65/$F$13,K24*$E$13)),K24*$E$13),IF(($E$6+$E$7)&lt;&gt;0,(IF(K24*$E$14*$F$14&gt;$E$8*0.65,$E$8*0.65/$F$14,K24*$E$14)),K24*$E$14))),(IF($G$23&lt;35,IF(($E$6+$E$7)&lt;&gt;0,(IF(K24*$E$15*$F$15&gt;$E$8*0.65,$E$8*0.65/$F$15,K24*$E$15)),K24*$E$15),IF(($E$6+$E$7)&lt;&gt;0,(IF(K24*$E$16*$F$16&gt;$E$8*0.65,$E$8*0.65/$F$16,K24*$E$16)),K24*$E$16))))</f>
        <v>0</v>
      </c>
      <c r="N24" s="1387"/>
      <c r="O24" s="1362"/>
      <c r="P24" s="648"/>
      <c r="Q24" s="1365"/>
      <c r="R24" s="1362"/>
      <c r="U24" s="1365"/>
      <c r="V24" s="1362"/>
    </row>
    <row r="25" spans="1:22" ht="16.5" thickBot="1" x14ac:dyDescent="0.3">
      <c r="A25" s="655" t="s">
        <v>650</v>
      </c>
      <c r="B25" s="1391"/>
      <c r="C25" s="1375">
        <f>INDEX(Tabella_caratteristiche_ghp,'3-Caratteristiche dei sistemi'!E80,1)</f>
        <v>0</v>
      </c>
      <c r="D25" s="1376"/>
      <c r="E25" s="637">
        <f>'3-Caratteristiche dei sistemi'!G10</f>
        <v>0</v>
      </c>
      <c r="F25" s="628">
        <f>'3-Caratteristiche dei sistemi'!G16</f>
        <v>0</v>
      </c>
      <c r="G25" s="1382"/>
      <c r="H25" s="637">
        <f>IF(E25&gt;0,LOOKUP($E$3,$B$50:$B$56,$C$50:$C$56),0)</f>
        <v>0</v>
      </c>
      <c r="I25" s="637">
        <f>IF($G$23&gt;0,F25*H25,0)</f>
        <v>0</v>
      </c>
      <c r="J25" s="628">
        <f>INDEX(Tabella_caratteristiche_ghp,'3-Caratteristiche dei sistemi'!E80,15)</f>
        <v>0</v>
      </c>
      <c r="K25" s="637">
        <f t="shared" ref="K25" si="0">IF(E25&gt;0,I25*(1-(1/(J25/0.46))),0)</f>
        <v>0</v>
      </c>
      <c r="L25" s="1385"/>
      <c r="M25" s="651">
        <f>IF('3-Caratteristiche dei sistemi'!E80&lt;7,(IF($G$23&lt;35,IF(($E$6+$E$7)&lt;&gt;0,(IF(K25*$E$13*$F$13&gt;$E$8*0.65,$E$8*0.65/$F$13,K25*$E$13)),K25*$E$13),IF(($E$6+$E$7)&lt;&gt;0,(IF(K25*$E$14*$F$14&gt;$E$8*0.65,$E$8*0.65/$F$14,K25*$E$14)),K25*$E$14))),(IF($G$23&lt;35,IF(($E$6+$E$7)&lt;&gt;0,(IF(K25*$E$15*$F$15&gt;$E$8*0.65,$E$8*0.65/$F$15,K25*$E$15)),K25*$E$15),IF(($E$6+$E$7)&lt;&gt;0,(IF(K25*$E$16*$F$16&gt;$E$8*0.65,$E$8*0.65/$F$16,K25*$E$16)),K25*$E$16))))</f>
        <v>0</v>
      </c>
      <c r="N25" s="1388"/>
      <c r="O25" s="1363"/>
      <c r="P25" s="648"/>
      <c r="Q25" s="1366"/>
      <c r="R25" s="1363"/>
      <c r="U25" s="1366"/>
      <c r="V25" s="1363"/>
    </row>
    <row r="26" spans="1:22" s="624" customFormat="1" x14ac:dyDescent="0.25">
      <c r="N26" s="638" t="str">
        <f>IF(AND(E8&lt;&gt;0,(($E$6+$E$7)=0)),"MAX INCENTIVO EROGABILE","")</f>
        <v/>
      </c>
    </row>
    <row r="27" spans="1:22" s="624" customFormat="1" ht="15.75" thickBot="1" x14ac:dyDescent="0.3">
      <c r="N27" s="638"/>
    </row>
    <row r="28" spans="1:22" s="624" customFormat="1" ht="18.75" customHeight="1" x14ac:dyDescent="0.25">
      <c r="B28" s="629"/>
      <c r="C28" s="1397" t="s">
        <v>631</v>
      </c>
      <c r="D28" s="1398"/>
      <c r="E28" s="1398"/>
      <c r="F28" s="1398"/>
      <c r="G28" s="1398"/>
      <c r="H28" s="1398"/>
      <c r="I28" s="1398"/>
      <c r="J28" s="1398"/>
      <c r="K28" s="1398"/>
      <c r="L28" s="1398"/>
      <c r="M28" s="1398"/>
      <c r="N28" s="1398"/>
      <c r="O28" s="1399"/>
      <c r="P28" s="630"/>
      <c r="Q28" s="1400" t="s">
        <v>632</v>
      </c>
      <c r="R28" s="1401"/>
      <c r="U28" s="1400" t="s">
        <v>740</v>
      </c>
      <c r="V28" s="1401"/>
    </row>
    <row r="29" spans="1:22" s="624" customFormat="1" ht="16.5" thickBot="1" x14ac:dyDescent="0.3">
      <c r="B29" s="629"/>
      <c r="C29" s="1369" t="s">
        <v>645</v>
      </c>
      <c r="D29" s="1370"/>
      <c r="E29" s="632" t="s">
        <v>576</v>
      </c>
      <c r="F29" s="632" t="s">
        <v>633</v>
      </c>
      <c r="G29" s="632" t="s">
        <v>634</v>
      </c>
      <c r="H29" s="632" t="s">
        <v>72</v>
      </c>
      <c r="I29" s="632" t="s">
        <v>635</v>
      </c>
      <c r="J29" s="632" t="s">
        <v>653</v>
      </c>
      <c r="K29" s="632" t="s">
        <v>637</v>
      </c>
      <c r="L29" s="632" t="s">
        <v>638</v>
      </c>
      <c r="M29" s="1392" t="s">
        <v>639</v>
      </c>
      <c r="N29" s="1393"/>
      <c r="O29" s="633" t="s">
        <v>640</v>
      </c>
      <c r="P29" s="629"/>
      <c r="Q29" s="631" t="s">
        <v>641</v>
      </c>
      <c r="R29" s="633" t="s">
        <v>642</v>
      </c>
      <c r="U29" s="631" t="s">
        <v>641</v>
      </c>
      <c r="V29" s="633" t="s">
        <v>642</v>
      </c>
    </row>
    <row r="30" spans="1:22" s="624" customFormat="1" ht="15.75" x14ac:dyDescent="0.25">
      <c r="A30" s="655" t="s">
        <v>649</v>
      </c>
      <c r="B30" s="1377" t="s">
        <v>657</v>
      </c>
      <c r="C30" s="1371">
        <f>IF('3-Caratteristiche dei sistemi'!C87&lt;7,INDEX('Rendimenti e consumi VRV'!$A$78:$O$84,'3-Caratteristiche dei sistemi'!C87,15),'3-Caratteristiche dei sistemi'!K8)</f>
        <v>0</v>
      </c>
      <c r="D30" s="1372"/>
      <c r="E30" s="635">
        <f>'3-Caratteristiche dei sistemi'!K10</f>
        <v>0</v>
      </c>
      <c r="F30" s="626">
        <f>IF('2-Dati generali-Cond. utilizzo'!$C$48=1,'3-Caratteristiche dei sistemi'!K16*E30,'3-Caratteristiche dei sistemi'!M16*E30)</f>
        <v>0</v>
      </c>
      <c r="G30" s="1380">
        <f>IF(SUM(E30:E32)&gt;0,SUM(F30:F32),0)</f>
        <v>0</v>
      </c>
      <c r="H30" s="635">
        <f>IF(E30&gt;0,LOOKUP($E$3,$B$50:$B$56,$C$50:$C$56),0)</f>
        <v>0</v>
      </c>
      <c r="I30" s="635">
        <f>IF($G$30&gt;0,F30*H30,0)</f>
        <v>0</v>
      </c>
      <c r="J30" s="626">
        <f>IF('2-Dati generali-Cond. utilizzo'!$C$48=1,'4bis-Incentivi'!G19,INDEX('Rendimenti e consumi VRV'!$A$78:$O$84,'3-Caratteristiche dei sistemi'!C87,15))</f>
        <v>0</v>
      </c>
      <c r="K30" s="635">
        <f>IF(E30&gt;0,I30*(1-(1/(J30))),0)</f>
        <v>0</v>
      </c>
      <c r="L30" s="1383">
        <f>SUM(K30:K32)</f>
        <v>0</v>
      </c>
      <c r="M30" s="649">
        <f>IF('2-Dati generali-Cond. utilizzo'!$C$42=1,(IF($G$30&lt;35,IF(($J$6+$J$7)&lt;&gt;0,(IF(K30*$H$13*$I$13&gt;$J$8*0.65,$J$8*0.65/$I$13,K30*$H$13)),K30*$H$13),IF(($J$6+$J$7)&lt;&gt;0,(IF(K30*$H$14*$I$14&gt;$J$8*0.65,$J$8*0.65/$I$14,K30*$H$14)),K30*$H$14))),IF('2-Dati generali-Cond. utilizzo'!$C$42=2,(IF($G$30&lt;35,IF(($J$6+$J$7)&lt;&gt;0,(IF(K30*$H$15*$I$15&gt;$J$8*0.65,$J$8*0.65/$I$15,K30*$H$15)),K30*$H$15),IF(($J$6+$J$7)&lt;&gt;0,(IF(K30*$H$16*$I$16&gt;$J$8*0.65,$J$8*0.65/$I$16,K30*$H$16)),K30*$H$16)))))</f>
        <v>0</v>
      </c>
      <c r="N30" s="1386">
        <f>SUM(M30:M32)</f>
        <v>0</v>
      </c>
      <c r="O30" s="1361">
        <f>IF($G$30&lt;35,N30*I13,N30*I14)</f>
        <v>0</v>
      </c>
      <c r="P30" s="648"/>
      <c r="Q30" s="1364">
        <f>IF(G30&gt;0,IF($J$8*0.65&gt;30000*E4,30000*E4/10,$J$8*0.65/10),0)</f>
        <v>0</v>
      </c>
      <c r="R30" s="1361">
        <f>Q30*10</f>
        <v>0</v>
      </c>
      <c r="U30" s="1364">
        <f>IF(G30&gt;0,IF($E$8*1.1&gt;IF($E$4&lt;9,20000*$E$4,(20000*$E$4)+(15000*($E$4-8))),(IF($E$4&lt;9,20000*$E$4,(20000*$E$4)+(15000*($E$4-8))))/5,$E$8*1.1/5),0)</f>
        <v>0</v>
      </c>
      <c r="V30" s="1361">
        <f>U30*5</f>
        <v>0</v>
      </c>
    </row>
    <row r="31" spans="1:22" s="624" customFormat="1" ht="15.75" x14ac:dyDescent="0.25">
      <c r="A31" s="655" t="s">
        <v>651</v>
      </c>
      <c r="B31" s="1378"/>
      <c r="C31" s="1373">
        <f>IF('3-Caratteristiche dei sistemi'!D87&lt;7,INDEX('Rendimenti e consumi VRV'!$A$78:$O$84,'3-Caratteristiche dei sistemi'!D87,15),'3-Caratteristiche dei sistemi'!N8)</f>
        <v>0</v>
      </c>
      <c r="D31" s="1374"/>
      <c r="E31" s="636">
        <f>'3-Caratteristiche dei sistemi'!N10</f>
        <v>0</v>
      </c>
      <c r="F31" s="627">
        <f>IF('2-Dati generali-Cond. utilizzo'!$C$48=1,'3-Caratteristiche dei sistemi'!N16*E31,'3-Caratteristiche dei sistemi'!P16*E31)</f>
        <v>0</v>
      </c>
      <c r="G31" s="1381"/>
      <c r="H31" s="636">
        <f>IF(E31&gt;0,LOOKUP($E$3,$B$50:$B$56,$C$50:$C$56),0)</f>
        <v>0</v>
      </c>
      <c r="I31" s="636">
        <f t="shared" ref="I31" si="1">IF($G$30&gt;0,F31*H31,0)</f>
        <v>0</v>
      </c>
      <c r="J31" s="627">
        <f>IF('2-Dati generali-Cond. utilizzo'!$C$48=1,'4bis-Incentivi'!H19,INDEX('Rendimenti e consumi VRV'!$A$78:$O$84,'3-Caratteristiche dei sistemi'!D87,15))</f>
        <v>0</v>
      </c>
      <c r="K31" s="636">
        <f t="shared" ref="K31:K32" si="2">IF(E31&gt;0,I31*(1-(1/(J31))),0)</f>
        <v>0</v>
      </c>
      <c r="L31" s="1384"/>
      <c r="M31" s="650">
        <f>IF('2-Dati generali-Cond. utilizzo'!$C$42=1,(IF($G$30&lt;35,IF(($J$6+$J$7)&lt;&gt;0,(IF(K31*$H$13*$I$13&gt;$J$8*0.65,$J$8*0.65/$I$13,K31*$H$13)),K31*$H$13),IF(($J$6+$J$7)&lt;&gt;0,(IF(K31*$H$14*$I$14&gt;$J$8*0.65,$J$8*0.65/$I$14,K31*$H$14)),K31*$H$14))),IF('2-Dati generali-Cond. utilizzo'!$C$42=2,(IF($G$30&lt;35,IF(($J$6+$J$7)&lt;&gt;0,(IF(K31*$H$15*$I$15&gt;$J$8*0.65,$J$8*0.65/$I$15,K31*$H$15)),K31*$H$15),IF(($J$6+$J$7)&lt;&gt;0,(IF(K31*$H$16*$I$16&gt;$J$8*0.65,$J$8*0.65/$I$16,K31*$H$16)),K31*$H$16)))))</f>
        <v>0</v>
      </c>
      <c r="N31" s="1387"/>
      <c r="O31" s="1362"/>
      <c r="P31" s="648"/>
      <c r="Q31" s="1365"/>
      <c r="R31" s="1362"/>
      <c r="U31" s="1365"/>
      <c r="V31" s="1362"/>
    </row>
    <row r="32" spans="1:22" s="624" customFormat="1" ht="16.5" thickBot="1" x14ac:dyDescent="0.3">
      <c r="A32" s="655" t="s">
        <v>650</v>
      </c>
      <c r="B32" s="1379"/>
      <c r="C32" s="1375">
        <f>IF('3-Caratteristiche dei sistemi'!E87&lt;7,INDEX('Rendimenti e consumi VRV'!$A$78:$O$84,'3-Caratteristiche dei sistemi'!E87,15),'3-Caratteristiche dei sistemi'!Q8)</f>
        <v>0</v>
      </c>
      <c r="D32" s="1376"/>
      <c r="E32" s="637">
        <f>'3-Caratteristiche dei sistemi'!Q10</f>
        <v>0</v>
      </c>
      <c r="F32" s="628">
        <f>IF('2-Dati generali-Cond. utilizzo'!$C$48=1,'3-Caratteristiche dei sistemi'!Q16*E32,'3-Caratteristiche dei sistemi'!S16*E32)</f>
        <v>0</v>
      </c>
      <c r="G32" s="1382"/>
      <c r="H32" s="637">
        <f>IF(E32&gt;0,LOOKUP($E$3,$B$50:$B$56,$C$50:$C$56),0)</f>
        <v>0</v>
      </c>
      <c r="I32" s="637">
        <f>IF($G$30&gt;0,F32*H32,0)</f>
        <v>0</v>
      </c>
      <c r="J32" s="628">
        <f>IF('2-Dati generali-Cond. utilizzo'!$C$48=1,'4bis-Incentivi'!I19,INDEX('Rendimenti e consumi VRV'!$A$78:$O$84,'3-Caratteristiche dei sistemi'!E87,15))</f>
        <v>0</v>
      </c>
      <c r="K32" s="637">
        <f t="shared" si="2"/>
        <v>0</v>
      </c>
      <c r="L32" s="1385"/>
      <c r="M32" s="651">
        <f>IF('2-Dati generali-Cond. utilizzo'!$C$42=1,(IF($G$30&lt;35,IF(($J$6+$J$7)&lt;&gt;0,(IF(K32*$H$13*$I$13&gt;$J$8*0.65,$J$8*0.65/$I$13,K32*$H$13)),K32*$H$13),IF(($J$6+$J$7)&lt;&gt;0,(IF(K32*$H$14*$I$14&gt;$J$8*0.65,$J$8*0.65/$I$14,K32*$H$14)),K32*$H$14))),IF('2-Dati generali-Cond. utilizzo'!$C$42=2,(IF($G$30&lt;35,IF(($J$6+$J$7)&lt;&gt;0,(IF(K32*$H$15*$I$15&gt;$J$8*0.65,$J$8*0.65/$I$15,K32*$H$15)),K32*$H$15),IF(($J$6+$J$7)&lt;&gt;0,(IF(K32*$H$16*$I$16&gt;$J$8*0.65,$J$8*0.65/$I$16,K32*$H$16)),K32*$H$16)))))</f>
        <v>0</v>
      </c>
      <c r="N32" s="1388"/>
      <c r="O32" s="1363"/>
      <c r="P32" s="648"/>
      <c r="Q32" s="1366"/>
      <c r="R32" s="1363"/>
      <c r="U32" s="1366"/>
      <c r="V32" s="1363"/>
    </row>
    <row r="33" spans="1:22" s="624" customFormat="1" x14ac:dyDescent="0.25">
      <c r="N33" s="638"/>
    </row>
    <row r="34" spans="1:22" s="624" customFormat="1" ht="15.75" thickBot="1" x14ac:dyDescent="0.3">
      <c r="N34" s="638"/>
    </row>
    <row r="35" spans="1:22" s="624" customFormat="1" ht="18.75" customHeight="1" x14ac:dyDescent="0.25">
      <c r="B35" s="629"/>
      <c r="C35" s="1397" t="s">
        <v>631</v>
      </c>
      <c r="D35" s="1398"/>
      <c r="E35" s="1398"/>
      <c r="F35" s="1398"/>
      <c r="G35" s="1398"/>
      <c r="H35" s="1398"/>
      <c r="I35" s="1398"/>
      <c r="J35" s="1398"/>
      <c r="K35" s="1398"/>
      <c r="L35" s="1398"/>
      <c r="M35" s="1398"/>
      <c r="N35" s="1398"/>
      <c r="O35" s="1399"/>
      <c r="P35" s="630"/>
      <c r="Q35" s="1400" t="s">
        <v>632</v>
      </c>
      <c r="R35" s="1401"/>
      <c r="U35" s="1400" t="s">
        <v>740</v>
      </c>
      <c r="V35" s="1401"/>
    </row>
    <row r="36" spans="1:22" s="624" customFormat="1" ht="16.5" thickBot="1" x14ac:dyDescent="0.3">
      <c r="B36" s="629"/>
      <c r="C36" s="1369" t="s">
        <v>645</v>
      </c>
      <c r="D36" s="1370"/>
      <c r="E36" s="632" t="s">
        <v>576</v>
      </c>
      <c r="F36" s="632" t="s">
        <v>633</v>
      </c>
      <c r="G36" s="632" t="s">
        <v>634</v>
      </c>
      <c r="H36" s="632" t="s">
        <v>72</v>
      </c>
      <c r="I36" s="632" t="s">
        <v>635</v>
      </c>
      <c r="J36" s="632" t="s">
        <v>636</v>
      </c>
      <c r="K36" s="632" t="s">
        <v>637</v>
      </c>
      <c r="L36" s="632" t="s">
        <v>638</v>
      </c>
      <c r="M36" s="1392" t="s">
        <v>639</v>
      </c>
      <c r="N36" s="1393"/>
      <c r="O36" s="633" t="s">
        <v>640</v>
      </c>
      <c r="P36" s="629"/>
      <c r="Q36" s="631" t="s">
        <v>641</v>
      </c>
      <c r="R36" s="633" t="s">
        <v>642</v>
      </c>
      <c r="U36" s="631" t="s">
        <v>641</v>
      </c>
      <c r="V36" s="633" t="s">
        <v>642</v>
      </c>
    </row>
    <row r="37" spans="1:22" s="624" customFormat="1" ht="15.75" x14ac:dyDescent="0.25">
      <c r="A37" s="655" t="s">
        <v>649</v>
      </c>
      <c r="B37" s="1377" t="s">
        <v>661</v>
      </c>
      <c r="C37" s="1371">
        <f>'3-Caratteristiche dei sistemi'!K8</f>
        <v>0</v>
      </c>
      <c r="D37" s="1372"/>
      <c r="E37" s="635">
        <f>'3-Caratteristiche dei sistemi'!K10</f>
        <v>0</v>
      </c>
      <c r="F37" s="626">
        <f>'3-Caratteristiche dei sistemi'!K16*E37</f>
        <v>0</v>
      </c>
      <c r="G37" s="1380">
        <f>IF(SUM(E37:E39)&gt;0,SUM(F37:F39),0)</f>
        <v>0</v>
      </c>
      <c r="H37" s="635">
        <f>IF(E37&gt;0,LOOKUP($E$3,$B$50:$B$56,$C$50:$C$56),0)</f>
        <v>0</v>
      </c>
      <c r="I37" s="635">
        <f>IF($G$37&gt;0,F37*H37,0)</f>
        <v>0</v>
      </c>
      <c r="J37" s="658">
        <f>'4bis-Incentivi'!G21</f>
        <v>0</v>
      </c>
      <c r="K37" s="635">
        <f>IF(E37&gt;0,I37*(1-(1/(J37/0.46))),0)</f>
        <v>0</v>
      </c>
      <c r="L37" s="1383">
        <f>SUM(K37:K39)</f>
        <v>0</v>
      </c>
      <c r="M37" s="649">
        <f>IF($G$37&lt;35,IF(($J$6+$J$7)&lt;&gt;0,(IF(K37*$E$15*$F$15&gt;$J$8*0.65,$J$8*0.65/$F$15,K37*$E$15)),K37*$E$15),IF(($J$6+$J$7)&lt;&gt;0,(IF(K37*$E$16*$F$16&gt;$J$8*0.65,$J$8*0.65/$F$16,K37*$E$16)),K37*$E$16))</f>
        <v>0</v>
      </c>
      <c r="N37" s="1386">
        <f>SUM(M37:M39)</f>
        <v>0</v>
      </c>
      <c r="O37" s="1361">
        <f>IF($G$37&lt;35,N37*F13,N37*F14)</f>
        <v>0</v>
      </c>
      <c r="P37" s="648"/>
      <c r="Q37" s="1364">
        <f>IF(G37&gt;0,IF($J$8*0.65&gt;30000*E4,30000*E4/10,$J$8*0.65/10),0)</f>
        <v>0</v>
      </c>
      <c r="R37" s="1361">
        <f>Q37*10</f>
        <v>0</v>
      </c>
      <c r="U37" s="1364">
        <f>IF(G37&gt;0,IF($E$8*1.1&gt;IF($E$4&lt;9,20000*$E$4,(20000*$E$4)+(15000*($E$4-8))),(IF($E$4&lt;9,20000*$E$4,(20000*$E$4)+(15000*($E$4-8))))/5,$E$8*1.1/5),0)</f>
        <v>0</v>
      </c>
      <c r="V37" s="1361">
        <f>U37*5</f>
        <v>0</v>
      </c>
    </row>
    <row r="38" spans="1:22" s="624" customFormat="1" ht="15.75" x14ac:dyDescent="0.25">
      <c r="A38" s="655" t="s">
        <v>651</v>
      </c>
      <c r="B38" s="1378"/>
      <c r="C38" s="1373">
        <f>'3-Caratteristiche dei sistemi'!N8</f>
        <v>0</v>
      </c>
      <c r="D38" s="1374"/>
      <c r="E38" s="636">
        <f>'3-Caratteristiche dei sistemi'!N10</f>
        <v>0</v>
      </c>
      <c r="F38" s="627">
        <f>'3-Caratteristiche dei sistemi'!N16*E38</f>
        <v>0</v>
      </c>
      <c r="G38" s="1381"/>
      <c r="H38" s="636">
        <f>IF(E38&gt;0,LOOKUP($E$3,$B$50:$B$56,$C$50:$C$56),0)</f>
        <v>0</v>
      </c>
      <c r="I38" s="636">
        <f>IF($G$37&gt;0,F38*H38,0)</f>
        <v>0</v>
      </c>
      <c r="J38" s="659">
        <f>'4bis-Incentivi'!H21</f>
        <v>0</v>
      </c>
      <c r="K38" s="636">
        <f t="shared" ref="K38:K39" si="3">IF(E38&gt;0,I38*(1-(1/(J38/0.46))),0)</f>
        <v>0</v>
      </c>
      <c r="L38" s="1384"/>
      <c r="M38" s="650">
        <f t="shared" ref="M38:M39" si="4">IF($G$37&lt;35,IF(($J$6+$J$7)&lt;&gt;0,(IF(K38*$E$15*$F$15&gt;$J$8*0.65,$J$8*0.65/$F$15,K38*$E$15)),K38*$E$15),IF(($J$6+$J$7)&lt;&gt;0,(IF(K38*$E$16*$F$16&gt;$J$8*0.65,$J$8*0.65/$F$16,K38*$E$16)),K38*$E$16))</f>
        <v>0</v>
      </c>
      <c r="N38" s="1387"/>
      <c r="O38" s="1362"/>
      <c r="P38" s="648"/>
      <c r="Q38" s="1365"/>
      <c r="R38" s="1362"/>
      <c r="U38" s="1365"/>
      <c r="V38" s="1362"/>
    </row>
    <row r="39" spans="1:22" s="624" customFormat="1" ht="16.5" thickBot="1" x14ac:dyDescent="0.3">
      <c r="A39" s="655" t="s">
        <v>650</v>
      </c>
      <c r="B39" s="1379"/>
      <c r="C39" s="1375">
        <f>'3-Caratteristiche dei sistemi'!Q8</f>
        <v>0</v>
      </c>
      <c r="D39" s="1376"/>
      <c r="E39" s="637">
        <f>'3-Caratteristiche dei sistemi'!Q10</f>
        <v>0</v>
      </c>
      <c r="F39" s="628">
        <f>'3-Caratteristiche dei sistemi'!Q16*E39</f>
        <v>0</v>
      </c>
      <c r="G39" s="1382"/>
      <c r="H39" s="637">
        <f>IF(E39&gt;0,LOOKUP($E$3,$B$50:$B$56,$C$50:$C$56),0)</f>
        <v>0</v>
      </c>
      <c r="I39" s="637">
        <f>IF($G$37&gt;0,F39*H39,0)</f>
        <v>0</v>
      </c>
      <c r="J39" s="660">
        <f>'4bis-Incentivi'!I21</f>
        <v>0</v>
      </c>
      <c r="K39" s="637">
        <f t="shared" si="3"/>
        <v>0</v>
      </c>
      <c r="L39" s="1385"/>
      <c r="M39" s="651">
        <f t="shared" si="4"/>
        <v>0</v>
      </c>
      <c r="N39" s="1388"/>
      <c r="O39" s="1363"/>
      <c r="P39" s="648"/>
      <c r="Q39" s="1366"/>
      <c r="R39" s="1363"/>
      <c r="U39" s="1366"/>
      <c r="V39" s="1363"/>
    </row>
    <row r="40" spans="1:22" s="624" customFormat="1" x14ac:dyDescent="0.25">
      <c r="N40" s="638"/>
    </row>
    <row r="41" spans="1:22" s="624" customFormat="1" ht="15.75" thickBot="1" x14ac:dyDescent="0.3">
      <c r="N41" s="638"/>
    </row>
    <row r="42" spans="1:22" s="624" customFormat="1" ht="18.75" customHeight="1" x14ac:dyDescent="0.25">
      <c r="B42" s="629"/>
      <c r="C42" s="1397" t="s">
        <v>631</v>
      </c>
      <c r="D42" s="1398"/>
      <c r="E42" s="1398"/>
      <c r="F42" s="1398"/>
      <c r="G42" s="1398"/>
      <c r="H42" s="1398"/>
      <c r="I42" s="1398"/>
      <c r="J42" s="1398"/>
      <c r="K42" s="1398"/>
      <c r="L42" s="1398"/>
      <c r="M42" s="1398"/>
      <c r="N42" s="1398"/>
      <c r="O42" s="1399"/>
      <c r="P42" s="630"/>
      <c r="Q42" s="1400" t="s">
        <v>632</v>
      </c>
      <c r="R42" s="1401"/>
      <c r="U42" s="1400" t="s">
        <v>740</v>
      </c>
      <c r="V42" s="1401"/>
    </row>
    <row r="43" spans="1:22" s="624" customFormat="1" ht="16.5" thickBot="1" x14ac:dyDescent="0.3">
      <c r="B43" s="629"/>
      <c r="C43" s="1369" t="s">
        <v>645</v>
      </c>
      <c r="D43" s="1370"/>
      <c r="E43" s="632" t="s">
        <v>576</v>
      </c>
      <c r="F43" s="632" t="s">
        <v>633</v>
      </c>
      <c r="G43" s="632" t="s">
        <v>634</v>
      </c>
      <c r="H43" s="632" t="s">
        <v>72</v>
      </c>
      <c r="I43" s="632" t="s">
        <v>635</v>
      </c>
      <c r="J43" s="632" t="s">
        <v>636</v>
      </c>
      <c r="K43" s="632" t="s">
        <v>637</v>
      </c>
      <c r="L43" s="632" t="s">
        <v>638</v>
      </c>
      <c r="M43" s="1392" t="s">
        <v>639</v>
      </c>
      <c r="N43" s="1393"/>
      <c r="O43" s="633" t="s">
        <v>640</v>
      </c>
      <c r="P43" s="629"/>
      <c r="Q43" s="631" t="s">
        <v>641</v>
      </c>
      <c r="R43" s="633" t="s">
        <v>642</v>
      </c>
      <c r="U43" s="631" t="s">
        <v>641</v>
      </c>
      <c r="V43" s="633" t="s">
        <v>642</v>
      </c>
    </row>
    <row r="44" spans="1:22" s="624" customFormat="1" ht="15.75" x14ac:dyDescent="0.25">
      <c r="A44" s="655" t="s">
        <v>649</v>
      </c>
      <c r="B44" s="1377" t="s">
        <v>314</v>
      </c>
      <c r="C44" s="1371">
        <f>'3-Caratteristiche dei sistemi'!K8</f>
        <v>0</v>
      </c>
      <c r="D44" s="1372"/>
      <c r="E44" s="635">
        <f>'3-Caratteristiche dei sistemi'!K10</f>
        <v>0</v>
      </c>
      <c r="F44" s="626">
        <f>'3-Caratteristiche dei sistemi'!K16*E44</f>
        <v>0</v>
      </c>
      <c r="G44" s="1380">
        <f>IF(SUM(E44:E46)&gt;0,SUM(F44:F46),0)</f>
        <v>0</v>
      </c>
      <c r="H44" s="635">
        <f>IF(E44&gt;0,LOOKUP($E$3,$B$50:$B$56,$C$50:$C$56),0)</f>
        <v>0</v>
      </c>
      <c r="I44" s="635">
        <f>IF($G$44&gt;0,F44*H44,0)</f>
        <v>0</v>
      </c>
      <c r="J44" s="658">
        <f>'4bis-Incentivi'!G21</f>
        <v>0</v>
      </c>
      <c r="K44" s="635">
        <f>IF(E44&gt;0,I44*(1-(1/(J44/0.46))),0)</f>
        <v>0</v>
      </c>
      <c r="L44" s="1383">
        <f>SUM(K44:K46)</f>
        <v>0</v>
      </c>
      <c r="M44" s="649">
        <f>IF('1-Ore funzionamento'!AI7=1,(IF($G$44&lt;35,IF(($J$6+$J$7)&lt;&gt;0,(IF(K44*$E$13*$F$13&gt;$J$8*0.65,$J$8*0.65/$F$13,K44*$E$13)),K44*$E$13),IF(($J$6+$J$7)&lt;&gt;0,(IF(K44*$E$14*$F$14&gt;$J$8*0.65,$J$8*0.65/$F$14,K44*$E$14)),K44*$E$14))),(IF($G$23&lt;35,IF(($J$6+$J$7)&lt;&gt;0,(IF(K44*$E$15*$F$15&gt;$J$8*0.65,$J$8*0.65/$F$15,K44*$E$15)),K44*$E$15),IF(($J$6+$J$7)&lt;&gt;0,(IF(K44*$E$16*$F$16&gt;$J$8*0.65,$J$8*0.65/$F$16,K44*$E$16)),K44*$E$16))))</f>
        <v>0</v>
      </c>
      <c r="N44" s="1386">
        <f>SUM(M44:M46)</f>
        <v>0</v>
      </c>
      <c r="O44" s="1361">
        <f>IF($G$44&lt;35,N44*F13,N44*F14)</f>
        <v>0</v>
      </c>
      <c r="P44" s="648"/>
      <c r="Q44" s="1364">
        <f>IF(G44&gt;0,IF($J$8*0.65&gt;30000*E4,30000*E4/10,$J$8*0.65/10),0)</f>
        <v>0</v>
      </c>
      <c r="R44" s="1361">
        <f>Q44*10</f>
        <v>0</v>
      </c>
      <c r="U44" s="1364">
        <f>IF(G44&gt;0,IF($E$8*1.1&gt;IF($E$4&lt;9,20000*$E$4,(20000*$E$4)+(15000*($E$4-8))),(IF($E$4&lt;9,20000*$E$4,(20000*$E$4)+(15000*($E$4-8))))/5,$E$8*1.1/5),0)</f>
        <v>0</v>
      </c>
      <c r="V44" s="1361">
        <f>U44*5</f>
        <v>0</v>
      </c>
    </row>
    <row r="45" spans="1:22" s="624" customFormat="1" ht="15.75" x14ac:dyDescent="0.25">
      <c r="A45" s="655" t="s">
        <v>651</v>
      </c>
      <c r="B45" s="1378"/>
      <c r="C45" s="1373">
        <f>'3-Caratteristiche dei sistemi'!N8</f>
        <v>0</v>
      </c>
      <c r="D45" s="1374"/>
      <c r="E45" s="636">
        <f>'3-Caratteristiche dei sistemi'!N10</f>
        <v>0</v>
      </c>
      <c r="F45" s="627">
        <f>'3-Caratteristiche dei sistemi'!N16*E45</f>
        <v>0</v>
      </c>
      <c r="G45" s="1381"/>
      <c r="H45" s="636">
        <f>IF(E45&gt;0,LOOKUP($E$3,$B$50:$B$56,$C$50:$C$56),0)</f>
        <v>0</v>
      </c>
      <c r="I45" s="636">
        <f>IF($G$44&gt;0,F45*H45,0)</f>
        <v>0</v>
      </c>
      <c r="J45" s="659">
        <f>'4bis-Incentivi'!H21</f>
        <v>0</v>
      </c>
      <c r="K45" s="636">
        <f t="shared" ref="K45:K46" si="5">IF(E45&gt;0,I45*(1-(1/(J45/0.46))),0)</f>
        <v>0</v>
      </c>
      <c r="L45" s="1384"/>
      <c r="M45" s="650">
        <f>IF('1-Ore funzionamento'!AI8=1,(IF($G$44&lt;35,IF(($J$6+$J$7)&lt;&gt;0,(IF(K45*$E$13*$F$13&gt;$J$8*0.65,$J$8*0.65/$F$13,K45*$E$13)),K45*$E$13),IF(($J$6+$J$7)&lt;&gt;0,(IF(K45*$E$14*$F$14&gt;$J$8*0.65,$J$8*0.65/$F$14,K45*$E$14)),K45*$E$14))),(IF($G$23&lt;35,IF(($J$6+$J$7)&lt;&gt;0,(IF(K45*$E$15*$F$15&gt;$J$8*0.65,$J$8*0.65/$F$15,K45*$E$15)),K45*$E$15),IF(($J$6+$J$7)&lt;&gt;0,(IF(K45*$E$16*$F$16&gt;$J$8*0.65,$J$8*0.65/$F$16,K45*$E$16)),K45*$E$16))))</f>
        <v>0</v>
      </c>
      <c r="N45" s="1387"/>
      <c r="O45" s="1362"/>
      <c r="P45" s="648"/>
      <c r="Q45" s="1365"/>
      <c r="R45" s="1362"/>
      <c r="U45" s="1365"/>
      <c r="V45" s="1362"/>
    </row>
    <row r="46" spans="1:22" s="624" customFormat="1" ht="16.5" thickBot="1" x14ac:dyDescent="0.3">
      <c r="A46" s="655" t="s">
        <v>650</v>
      </c>
      <c r="B46" s="1379"/>
      <c r="C46" s="1375">
        <f>'3-Caratteristiche dei sistemi'!Q8</f>
        <v>0</v>
      </c>
      <c r="D46" s="1376"/>
      <c r="E46" s="637">
        <f>'3-Caratteristiche dei sistemi'!Q10</f>
        <v>0</v>
      </c>
      <c r="F46" s="628">
        <f>'3-Caratteristiche dei sistemi'!Q16*E46</f>
        <v>0</v>
      </c>
      <c r="G46" s="1382"/>
      <c r="H46" s="637">
        <f>IF(E46&gt;0,LOOKUP($E$3,$B$50:$B$56,$C$50:$C$56),0)</f>
        <v>0</v>
      </c>
      <c r="I46" s="637">
        <f>IF($G$44&gt;0,F46*H46,0)</f>
        <v>0</v>
      </c>
      <c r="J46" s="660">
        <f>'4bis-Incentivi'!I21</f>
        <v>0</v>
      </c>
      <c r="K46" s="637">
        <f t="shared" si="5"/>
        <v>0</v>
      </c>
      <c r="L46" s="1385"/>
      <c r="M46" s="651">
        <f>IF('1-Ore funzionamento'!AI9=1,(IF($G$44&lt;35,IF(($J$6+$J$7)&lt;&gt;0,(IF(K46*$E$13*$F$13&gt;$J$8*0.65,$J$8*0.65/$F$13,K46*$E$13)),K46*$E$13),IF(($J$6+$J$7)&lt;&gt;0,(IF(K46*$E$14*$F$14&gt;$J$8*0.65,$J$8*0.65/$F$14,K46*$E$14)),K46*$E$14))),(IF($G$23&lt;35,IF(($J$6+$J$7)&lt;&gt;0,(IF(K46*$E$15*$F$15&gt;$J$8*0.65,$J$8*0.65/$F$15,K46*$E$15)),K46*$E$15),IF(($J$6+$J$7)&lt;&gt;0,(IF(K46*$E$16*$F$16&gt;$J$8*0.65,$J$8*0.65/$F$16,K46*$E$16)),K46*$E$16))))</f>
        <v>0</v>
      </c>
      <c r="N46" s="1388"/>
      <c r="O46" s="1363"/>
      <c r="P46" s="648"/>
      <c r="Q46" s="1366"/>
      <c r="R46" s="1363"/>
      <c r="U46" s="1366"/>
      <c r="V46" s="1363"/>
    </row>
    <row r="47" spans="1:22" s="624" customFormat="1" x14ac:dyDescent="0.25">
      <c r="N47" s="638"/>
    </row>
    <row r="48" spans="1:22" s="624" customFormat="1" ht="15.75" thickBot="1" x14ac:dyDescent="0.3">
      <c r="N48" s="638"/>
    </row>
    <row r="49" spans="2:3" s="624" customFormat="1" ht="19.5" thickBot="1" x14ac:dyDescent="0.3">
      <c r="B49" s="1367" t="s">
        <v>643</v>
      </c>
      <c r="C49" s="1368"/>
    </row>
    <row r="50" spans="2:3" s="624" customFormat="1" ht="18.75" x14ac:dyDescent="0.25">
      <c r="B50" s="643" t="s">
        <v>622</v>
      </c>
      <c r="C50" s="644">
        <v>0</v>
      </c>
    </row>
    <row r="51" spans="2:3" s="624" customFormat="1" x14ac:dyDescent="0.25">
      <c r="B51" s="639" t="s">
        <v>299</v>
      </c>
      <c r="C51" s="645">
        <v>600</v>
      </c>
    </row>
    <row r="52" spans="2:3" s="624" customFormat="1" x14ac:dyDescent="0.25">
      <c r="B52" s="639" t="s">
        <v>298</v>
      </c>
      <c r="C52" s="645">
        <v>850</v>
      </c>
    </row>
    <row r="53" spans="2:3" s="624" customFormat="1" x14ac:dyDescent="0.25">
      <c r="B53" s="639" t="s">
        <v>297</v>
      </c>
      <c r="C53" s="645">
        <v>1100</v>
      </c>
    </row>
    <row r="54" spans="2:3" s="624" customFormat="1" x14ac:dyDescent="0.25">
      <c r="B54" s="639" t="s">
        <v>296</v>
      </c>
      <c r="C54" s="645">
        <v>1400</v>
      </c>
    </row>
    <row r="55" spans="2:3" s="624" customFormat="1" x14ac:dyDescent="0.25">
      <c r="B55" s="639" t="s">
        <v>295</v>
      </c>
      <c r="C55" s="645">
        <v>1700</v>
      </c>
    </row>
    <row r="56" spans="2:3" s="624" customFormat="1" ht="15.75" thickBot="1" x14ac:dyDescent="0.3">
      <c r="B56" s="634" t="s">
        <v>241</v>
      </c>
      <c r="C56" s="646">
        <v>1800</v>
      </c>
    </row>
  </sheetData>
  <mergeCells count="95">
    <mergeCell ref="U35:V35"/>
    <mergeCell ref="U37:U39"/>
    <mergeCell ref="V37:V39"/>
    <mergeCell ref="U42:V42"/>
    <mergeCell ref="U44:U46"/>
    <mergeCell ref="V44:V46"/>
    <mergeCell ref="U21:V21"/>
    <mergeCell ref="U23:U25"/>
    <mergeCell ref="V23:V25"/>
    <mergeCell ref="U28:V28"/>
    <mergeCell ref="U30:U32"/>
    <mergeCell ref="V30:V32"/>
    <mergeCell ref="C2:K2"/>
    <mergeCell ref="H5:K5"/>
    <mergeCell ref="H6:I6"/>
    <mergeCell ref="J6:K6"/>
    <mergeCell ref="H7:I7"/>
    <mergeCell ref="J7:K7"/>
    <mergeCell ref="C3:D3"/>
    <mergeCell ref="E3:F3"/>
    <mergeCell ref="C6:D6"/>
    <mergeCell ref="E6:F6"/>
    <mergeCell ref="E5:F5"/>
    <mergeCell ref="C4:D4"/>
    <mergeCell ref="E4:F4"/>
    <mergeCell ref="H4:I4"/>
    <mergeCell ref="J4:K4"/>
    <mergeCell ref="H8:I8"/>
    <mergeCell ref="J8:K8"/>
    <mergeCell ref="C42:O42"/>
    <mergeCell ref="Q42:R42"/>
    <mergeCell ref="C43:D43"/>
    <mergeCell ref="M43:N43"/>
    <mergeCell ref="O37:O39"/>
    <mergeCell ref="Q37:Q39"/>
    <mergeCell ref="R37:R39"/>
    <mergeCell ref="C38:D38"/>
    <mergeCell ref="C39:D39"/>
    <mergeCell ref="C31:D31"/>
    <mergeCell ref="C32:D32"/>
    <mergeCell ref="C35:O35"/>
    <mergeCell ref="Q35:R35"/>
    <mergeCell ref="C36:D36"/>
    <mergeCell ref="B44:B46"/>
    <mergeCell ref="C44:D44"/>
    <mergeCell ref="G44:G46"/>
    <mergeCell ref="L44:L46"/>
    <mergeCell ref="N44:N46"/>
    <mergeCell ref="O44:O46"/>
    <mergeCell ref="Q44:Q46"/>
    <mergeCell ref="R44:R46"/>
    <mergeCell ref="C45:D45"/>
    <mergeCell ref="C46:D46"/>
    <mergeCell ref="B37:B39"/>
    <mergeCell ref="C37:D37"/>
    <mergeCell ref="G37:G39"/>
    <mergeCell ref="L37:L39"/>
    <mergeCell ref="N37:N39"/>
    <mergeCell ref="M36:N36"/>
    <mergeCell ref="C7:D7"/>
    <mergeCell ref="E7:F7"/>
    <mergeCell ref="C28:O28"/>
    <mergeCell ref="Q28:R28"/>
    <mergeCell ref="C29:D29"/>
    <mergeCell ref="M29:N29"/>
    <mergeCell ref="C10:I10"/>
    <mergeCell ref="E11:F11"/>
    <mergeCell ref="H11:I11"/>
    <mergeCell ref="C8:D8"/>
    <mergeCell ref="E8:F8"/>
    <mergeCell ref="C13:C14"/>
    <mergeCell ref="C15:C16"/>
    <mergeCell ref="Q21:R21"/>
    <mergeCell ref="C21:O21"/>
    <mergeCell ref="B23:B25"/>
    <mergeCell ref="G23:G25"/>
    <mergeCell ref="L23:L25"/>
    <mergeCell ref="M22:N22"/>
    <mergeCell ref="N23:N25"/>
    <mergeCell ref="O23:O25"/>
    <mergeCell ref="Q23:Q25"/>
    <mergeCell ref="R23:R25"/>
    <mergeCell ref="B49:C49"/>
    <mergeCell ref="C22:D22"/>
    <mergeCell ref="C23:D23"/>
    <mergeCell ref="C24:D24"/>
    <mergeCell ref="C25:D25"/>
    <mergeCell ref="B30:B32"/>
    <mergeCell ref="C30:D30"/>
    <mergeCell ref="G30:G32"/>
    <mergeCell ref="L30:L32"/>
    <mergeCell ref="N30:N32"/>
    <mergeCell ref="O30:O32"/>
    <mergeCell ref="Q30:Q32"/>
    <mergeCell ref="R30:R32"/>
  </mergeCells>
  <pageMargins left="0.70866141732283472" right="0.70866141732283472" top="0.74803149606299213" bottom="0.74803149606299213" header="0.31496062992125984" footer="0.31496062992125984"/>
  <pageSetup paperSize="9" scale="39" orientation="landscape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Y75"/>
  <sheetViews>
    <sheetView zoomScale="55" zoomScaleNormal="55" workbookViewId="0">
      <selection sqref="A1:N1"/>
    </sheetView>
  </sheetViews>
  <sheetFormatPr defaultRowHeight="15" x14ac:dyDescent="0.25"/>
  <cols>
    <col min="1" max="1" width="73.375" style="348" customWidth="1"/>
    <col min="2" max="2" width="2.5" style="384" customWidth="1"/>
    <col min="3" max="4" width="10.375" style="384" customWidth="1"/>
    <col min="5" max="5" width="2.5" style="384" customWidth="1"/>
    <col min="6" max="6" width="20.5" style="348" customWidth="1"/>
    <col min="7" max="8" width="17.625" style="348" bestFit="1" customWidth="1"/>
    <col min="9" max="9" width="24.25" style="348" customWidth="1"/>
    <col min="10" max="10" width="3" style="348" customWidth="1"/>
    <col min="11" max="11" width="30.625" style="348" bestFit="1" customWidth="1"/>
    <col min="12" max="12" width="32.625" style="348" customWidth="1"/>
    <col min="13" max="13" width="30.625" style="348" bestFit="1" customWidth="1"/>
    <col min="14" max="14" width="21.875" style="348" bestFit="1" customWidth="1"/>
    <col min="15" max="15" width="11.75" style="348" bestFit="1" customWidth="1"/>
    <col min="16" max="17" width="12.875" style="348" bestFit="1" customWidth="1"/>
    <col min="18" max="18" width="12.375" style="348" customWidth="1"/>
    <col min="19" max="19" width="14.25" style="348" bestFit="1" customWidth="1"/>
    <col min="20" max="20" width="14.125" style="348" customWidth="1"/>
    <col min="21" max="21" width="10.625" style="348" customWidth="1"/>
    <col min="22" max="16384" width="9" style="348"/>
  </cols>
  <sheetData>
    <row r="1" spans="1:14" ht="23.25" x14ac:dyDescent="0.25">
      <c r="A1" s="1269" t="s">
        <v>579</v>
      </c>
      <c r="B1" s="1269"/>
      <c r="C1" s="1269"/>
      <c r="D1" s="1269"/>
      <c r="E1" s="1269"/>
      <c r="F1" s="1269"/>
      <c r="G1" s="1269"/>
      <c r="H1" s="1269"/>
      <c r="I1" s="1269"/>
      <c r="J1" s="1269"/>
      <c r="K1" s="1269"/>
      <c r="L1" s="1269"/>
      <c r="M1" s="1269"/>
      <c r="N1" s="1269"/>
    </row>
    <row r="2" spans="1:14" ht="10.5" customHeight="1" thickBot="1" x14ac:dyDescent="0.3">
      <c r="A2" s="802"/>
      <c r="B2" s="804"/>
      <c r="C2" s="804"/>
      <c r="D2" s="804"/>
      <c r="E2" s="804"/>
      <c r="F2" s="802"/>
      <c r="G2" s="802"/>
      <c r="H2" s="802"/>
      <c r="I2" s="802"/>
      <c r="J2" s="997"/>
      <c r="K2" s="802"/>
      <c r="L2" s="802"/>
      <c r="M2" s="861"/>
      <c r="N2" s="861"/>
    </row>
    <row r="3" spans="1:14" ht="24" thickBot="1" x14ac:dyDescent="0.3">
      <c r="A3" s="890" t="s">
        <v>567</v>
      </c>
      <c r="B3" s="804"/>
      <c r="C3" s="804"/>
      <c r="D3" s="804"/>
      <c r="E3" s="804"/>
      <c r="F3" s="1291" t="str">
        <f>'4-Costi sistemi'!C3</f>
        <v>AISIN</v>
      </c>
      <c r="G3" s="1292"/>
      <c r="H3" s="1292"/>
      <c r="I3" s="1293"/>
      <c r="J3" s="998">
        <f>'4-Costi sistemi'!F3</f>
        <v>0</v>
      </c>
      <c r="K3" s="1291" t="str">
        <f>'3-Caratteristiche dei sistemi'!K3</f>
        <v>IMPIANTO CONCORRENTE</v>
      </c>
      <c r="L3" s="1292"/>
      <c r="M3" s="1292"/>
      <c r="N3" s="1293"/>
    </row>
    <row r="4" spans="1:14" ht="6" customHeight="1" thickBot="1" x14ac:dyDescent="0.3">
      <c r="A4" s="805"/>
      <c r="B4" s="803"/>
      <c r="C4" s="803"/>
      <c r="D4" s="803"/>
      <c r="E4" s="803"/>
      <c r="F4" s="802"/>
      <c r="G4" s="802"/>
      <c r="H4" s="802"/>
      <c r="I4" s="802"/>
      <c r="J4" s="997"/>
      <c r="K4" s="802"/>
      <c r="L4" s="802"/>
      <c r="M4" s="861"/>
      <c r="N4" s="861"/>
    </row>
    <row r="5" spans="1:14" ht="24" thickBot="1" x14ac:dyDescent="0.3">
      <c r="A5" s="890" t="s">
        <v>568</v>
      </c>
      <c r="B5" s="804"/>
      <c r="C5" s="804"/>
      <c r="D5" s="804"/>
      <c r="E5" s="804"/>
      <c r="F5" s="999">
        <f>'4-Costi sistemi'!C5</f>
        <v>0</v>
      </c>
      <c r="G5" s="781">
        <f>'4-Costi sistemi'!D5</f>
        <v>0</v>
      </c>
      <c r="H5" s="1000">
        <f>'4-Costi sistemi'!E5</f>
        <v>0</v>
      </c>
      <c r="I5" s="1001" t="s">
        <v>71</v>
      </c>
      <c r="J5" s="1002">
        <f>'4-Costi sistemi'!F5</f>
        <v>0</v>
      </c>
      <c r="K5" s="1003">
        <f>IF('2-Dati generali-Cond. utilizzo'!$C$48=1,'3-Caratteristiche dei sistemi'!$K$8,IF('2-Dati generali-Cond. utilizzo'!$C$42=1,IF('3-Caratteristiche dei sistemi'!$C$87=7,'3-Caratteristiche dei sistemi'!$K$8,'3-Caratteristiche dei sistemi'!C89),'3-Caratteristiche dei sistemi'!$K$8))</f>
        <v>0</v>
      </c>
      <c r="L5" s="781">
        <f>IF('2-Dati generali-Cond. utilizzo'!$C$48=1,'3-Caratteristiche dei sistemi'!$N$8,IF('2-Dati generali-Cond. utilizzo'!$C$42=1,IF('3-Caratteristiche dei sistemi'!$D$87=7,'3-Caratteristiche dei sistemi'!$N$8,'3-Caratteristiche dei sistemi'!D89),'3-Caratteristiche dei sistemi'!$N$8))</f>
        <v>0</v>
      </c>
      <c r="M5" s="781">
        <f>IF('2-Dati generali-Cond. utilizzo'!$C$48=1,'3-Caratteristiche dei sistemi'!$Q$8,IF('2-Dati generali-Cond. utilizzo'!$C$42=1,IF('3-Caratteristiche dei sistemi'!$E$87=7,'3-Caratteristiche dei sistemi'!$Q$8,'3-Caratteristiche dei sistemi'!E89),'3-Caratteristiche dei sistemi'!$Q$8))</f>
        <v>0</v>
      </c>
      <c r="N5" s="1004" t="s">
        <v>71</v>
      </c>
    </row>
    <row r="6" spans="1:14" ht="6" customHeight="1" thickBot="1" x14ac:dyDescent="0.3">
      <c r="A6" s="802"/>
      <c r="B6" s="804"/>
      <c r="C6" s="804"/>
      <c r="D6" s="804"/>
      <c r="E6" s="804"/>
      <c r="F6" s="802"/>
      <c r="G6" s="802"/>
      <c r="H6" s="802"/>
      <c r="I6" s="802"/>
      <c r="J6" s="802"/>
      <c r="K6" s="1005"/>
      <c r="L6" s="1005"/>
      <c r="M6" s="861"/>
      <c r="N6" s="861"/>
    </row>
    <row r="7" spans="1:14" ht="24" customHeight="1" thickBot="1" x14ac:dyDescent="0.3">
      <c r="A7" s="890" t="s">
        <v>576</v>
      </c>
      <c r="B7" s="804"/>
      <c r="C7" s="804"/>
      <c r="D7" s="804"/>
      <c r="E7" s="804"/>
      <c r="F7" s="1006" t="str">
        <f>IF('3-Caratteristiche dei sistemi'!E10=0,"",'3-Caratteristiche dei sistemi'!E10)</f>
        <v/>
      </c>
      <c r="G7" s="1007" t="str">
        <f>IF('3-Caratteristiche dei sistemi'!F10=0,"",'3-Caratteristiche dei sistemi'!F10)</f>
        <v/>
      </c>
      <c r="H7" s="1007" t="str">
        <f>IF('3-Caratteristiche dei sistemi'!G10=0,"",'3-Caratteristiche dei sistemi'!G10)</f>
        <v/>
      </c>
      <c r="I7" s="1008">
        <f>SUM(F7:H7)</f>
        <v>0</v>
      </c>
      <c r="J7" s="802"/>
      <c r="K7" s="1006" t="str">
        <f>IF('3-Caratteristiche dei sistemi'!K10=0,"",'3-Caratteristiche dei sistemi'!K10)</f>
        <v/>
      </c>
      <c r="L7" s="1007" t="str">
        <f>IF('3-Caratteristiche dei sistemi'!N10=0,"",'3-Caratteristiche dei sistemi'!N10)</f>
        <v/>
      </c>
      <c r="M7" s="1007" t="str">
        <f>IF('3-Caratteristiche dei sistemi'!Q10=0,"",'3-Caratteristiche dei sistemi'!Q10)</f>
        <v/>
      </c>
      <c r="N7" s="1008">
        <f>SUM(K7:M7)</f>
        <v>0</v>
      </c>
    </row>
    <row r="8" spans="1:14" ht="6" customHeight="1" thickBot="1" x14ac:dyDescent="0.3">
      <c r="A8" s="802"/>
      <c r="B8" s="804"/>
      <c r="C8" s="804"/>
      <c r="D8" s="804"/>
      <c r="E8" s="804"/>
      <c r="F8" s="802"/>
      <c r="G8" s="802"/>
      <c r="H8" s="802"/>
      <c r="I8" s="802"/>
      <c r="J8" s="802"/>
      <c r="K8" s="1005"/>
      <c r="L8" s="1005"/>
      <c r="M8" s="861"/>
      <c r="N8" s="1009"/>
    </row>
    <row r="9" spans="1:14" ht="24" thickBot="1" x14ac:dyDescent="0.3">
      <c r="A9" s="890" t="s">
        <v>592</v>
      </c>
      <c r="B9" s="803"/>
      <c r="C9" s="803"/>
      <c r="D9" s="803"/>
      <c r="E9" s="803"/>
      <c r="F9" s="1010">
        <f>(ROUNDUP(MAX('3-Caratteristiche dei sistemi'!E40,'3-Caratteristiche dei sistemi'!E51)*'2-Dati generali-Cond. utilizzo'!$D$35*12,0))</f>
        <v>0</v>
      </c>
      <c r="G9" s="1011">
        <f>(ROUNDUP(MAX('3-Caratteristiche dei sistemi'!F40,'3-Caratteristiche dei sistemi'!F51)*'2-Dati generali-Cond. utilizzo'!$D$35*12,0))</f>
        <v>0</v>
      </c>
      <c r="H9" s="1012">
        <f>(ROUNDUP(MAX('3-Caratteristiche dei sistemi'!G40,'3-Caratteristiche dei sistemi'!G51)*'2-Dati generali-Cond. utilizzo'!$D$35*12,0))</f>
        <v>0</v>
      </c>
      <c r="I9" s="1013">
        <f>SUM(F9:H9)</f>
        <v>0</v>
      </c>
      <c r="J9" s="802"/>
      <c r="K9" s="1010">
        <f>IF('2-Dati generali-Cond. utilizzo'!$C$42=1,IF('3-Caratteristiche dei sistemi'!C87=7,MAX('3-Caratteristiche dei sistemi'!K32:'3-Caratteristiche dei sistemi'!K50)*'2-Dati generali-Cond. utilizzo'!$D$35*12,IF('2-Dati generali-Cond. utilizzo'!$C$48=1,MAX('3-Caratteristiche dei sistemi'!K32:'3-Caratteristiche dei sistemi'!K50)*'2-Dati generali-Cond. utilizzo'!$D$35*12,MAX('3-Caratteristiche dei sistemi'!L32:'3-Caratteristiche dei sistemi'!L50)*'2-Dati generali-Cond. utilizzo'!$D$35*12)),MAX('3-Caratteristiche dei sistemi'!K32:'3-Caratteristiche dei sistemi'!K50)*'2-Dati generali-Cond. utilizzo'!$D$35*12)</f>
        <v>0</v>
      </c>
      <c r="L9" s="1011">
        <f>IF('2-Dati generali-Cond. utilizzo'!$C$42=1,IF('3-Caratteristiche dei sistemi'!D87=7,MAX('3-Caratteristiche dei sistemi'!N32:'3-Caratteristiche dei sistemi'!N50)*'2-Dati generali-Cond. utilizzo'!$D$35*12,IF('2-Dati generali-Cond. utilizzo'!$C$48=1,MAX('3-Caratteristiche dei sistemi'!N32:'3-Caratteristiche dei sistemi'!N50)*'2-Dati generali-Cond. utilizzo'!$D$35*12,MAX('3-Caratteristiche dei sistemi'!O32:'3-Caratteristiche dei sistemi'!O50)*'2-Dati generali-Cond. utilizzo'!$D$35*12)),MAX('3-Caratteristiche dei sistemi'!N32:'3-Caratteristiche dei sistemi'!N50)*'2-Dati generali-Cond. utilizzo'!$D$35*12)</f>
        <v>0</v>
      </c>
      <c r="M9" s="1014">
        <f>IF('2-Dati generali-Cond. utilizzo'!$C$42=1,IF('3-Caratteristiche dei sistemi'!E87=7,MAX('3-Caratteristiche dei sistemi'!Q32:'3-Caratteristiche dei sistemi'!Q50)*'2-Dati generali-Cond. utilizzo'!$D$35*12,IF('2-Dati generali-Cond. utilizzo'!$C$48=1,MAX('3-Caratteristiche dei sistemi'!Q32:'3-Caratteristiche dei sistemi'!Q50)*'2-Dati generali-Cond. utilizzo'!$D$35*12,MAX('3-Caratteristiche dei sistemi'!R32:'3-Caratteristiche dei sistemi'!R50)*'2-Dati generali-Cond. utilizzo'!$D$35*12)),MAX('3-Caratteristiche dei sistemi'!Q32:'3-Caratteristiche dei sistemi'!Q50)*'2-Dati generali-Cond. utilizzo'!$D$35*12)</f>
        <v>0</v>
      </c>
      <c r="N9" s="1015">
        <f>SUM(K9:M9)+N8</f>
        <v>0</v>
      </c>
    </row>
    <row r="10" spans="1:14" ht="6" customHeight="1" thickBot="1" x14ac:dyDescent="0.3">
      <c r="A10" s="802"/>
      <c r="B10" s="804"/>
      <c r="C10" s="804"/>
      <c r="D10" s="804"/>
      <c r="E10" s="804"/>
      <c r="F10" s="990">
        <f>IF(F7="",0,IF(F7&gt;50,(1-0.007*F7),IF(F7&gt;20,(1-0.013*F7),IF(F7&gt;10,(1-0.015*F7),IF(F7&gt;5,(1-0.015*F7),IF(F7&gt;3,(1-0.02*F7),1))))))</f>
        <v>0</v>
      </c>
      <c r="G10" s="990">
        <f t="shared" ref="G10:H10" si="0">IF(G7="",0,IF(G7&gt;50,(1-0.007*G7),IF(G7&gt;20,(1-0.013*G7),IF(G7&gt;10,(1-0.015*G7),IF(G7&gt;5,(1-0.015*G7),IF(G7&gt;3,(1-0.02*G7),1))))))</f>
        <v>0</v>
      </c>
      <c r="H10" s="990">
        <f t="shared" si="0"/>
        <v>0</v>
      </c>
      <c r="I10" s="932"/>
      <c r="J10" s="802"/>
      <c r="K10" s="804"/>
      <c r="L10" s="804"/>
      <c r="M10" s="976"/>
      <c r="N10" s="976"/>
    </row>
    <row r="11" spans="1:14" ht="24" thickBot="1" x14ac:dyDescent="0.3">
      <c r="A11" s="890" t="s">
        <v>577</v>
      </c>
      <c r="B11" s="803"/>
      <c r="C11" s="803"/>
      <c r="D11" s="803"/>
      <c r="E11" s="803"/>
      <c r="F11" s="1010">
        <f>SUMIF('Dati x formule'!$B$15:$B$21,'3-Caratteristiche dei sistemi'!C81,'Dati x formule'!$K$15:$K$21)/'Dati x formule'!$K$14*'1-Ore funzionamento'!$Y$103*'3-Caratteristiche dei sistemi'!E10*F10</f>
        <v>0</v>
      </c>
      <c r="G11" s="1011">
        <f>SUMIF('Dati x formule'!$B$15:$B$21,'3-Caratteristiche dei sistemi'!D81,'Dati x formule'!$K$15:$K$21)/'Dati x formule'!$K$14*'1-Ore funzionamento'!$Y$103*'3-Caratteristiche dei sistemi'!F10*G10</f>
        <v>0</v>
      </c>
      <c r="H11" s="1011">
        <f>SUMIF('Dati x formule'!$B$15:$B$21,'3-Caratteristiche dei sistemi'!E81,'Dati x formule'!$K$15:$K$21)/'Dati x formule'!$K$14*'1-Ore funzionamento'!$Y$103*'3-Caratteristiche dei sistemi'!G10*H10</f>
        <v>0</v>
      </c>
      <c r="I11" s="1016">
        <f>SUM(F11:H11)</f>
        <v>0</v>
      </c>
      <c r="J11" s="1017"/>
      <c r="K11" s="1018" t="str">
        <f>IF('2-Dati generali-Cond. utilizzo'!$C$42=1,IF('2-Dati generali-Cond. utilizzo'!$C$48=2,SUMIF('Rendimenti e consumi VRV'!$C$78:$C$84,'3-Caratteristiche dei sistemi'!C88,'Rendimenti e consumi VRV'!$L$78:$L$84)/'Rendimenti e consumi VRV'!$L$77*'1-Ore funzionamento'!$Y$103*'3-Caratteristiche dei sistemi'!K10,"INSERISCI SOTTO"),"INSERISCI SOTTO")</f>
        <v>INSERISCI SOTTO</v>
      </c>
      <c r="L11" s="1019" t="str">
        <f>IF('2-Dati generali-Cond. utilizzo'!$C$42=1,IF('2-Dati generali-Cond. utilizzo'!$C$48=2,SUMIF('Rendimenti e consumi VRV'!$C$78:$C$84,'3-Caratteristiche dei sistemi'!D88,'Rendimenti e consumi VRV'!$L$78:$L$84)/'Rendimenti e consumi VRV'!$L$77*'1-Ore funzionamento'!$Y$103*'3-Caratteristiche dei sistemi'!N10,"INSERISCI SOTTO"),"INSERISCI SOTTO")</f>
        <v>INSERISCI SOTTO</v>
      </c>
      <c r="M11" s="1019" t="str">
        <f>IF('2-Dati generali-Cond. utilizzo'!$C$42=1,IF('2-Dati generali-Cond. utilizzo'!$C$48=2,SUMIF('Rendimenti e consumi VRV'!$C$78:$C$84,'3-Caratteristiche dei sistemi'!E88,'Rendimenti e consumi VRV'!$L$78:$L$84)/'Rendimenti e consumi VRV'!$L$77*'1-Ore funzionamento'!$Y$103*'3-Caratteristiche dei sistemi'!Q10,"INSERISCI SOTTO"),"INSERISCI SOTTO")</f>
        <v>INSERISCI SOTTO</v>
      </c>
      <c r="N11" s="1013">
        <f>SUM(K11:M11)</f>
        <v>0</v>
      </c>
    </row>
    <row r="12" spans="1:14" ht="6" customHeight="1" thickBot="1" x14ac:dyDescent="0.3">
      <c r="A12" s="802"/>
      <c r="B12" s="976"/>
      <c r="C12" s="976"/>
      <c r="D12" s="976"/>
      <c r="E12" s="976"/>
      <c r="F12" s="802"/>
      <c r="G12" s="802"/>
      <c r="H12" s="802"/>
      <c r="I12" s="802"/>
      <c r="J12" s="802"/>
      <c r="K12" s="1005"/>
      <c r="L12" s="1005"/>
      <c r="M12" s="861"/>
      <c r="N12" s="861"/>
    </row>
    <row r="13" spans="1:14" ht="32.1" customHeight="1" thickBot="1" x14ac:dyDescent="0.3">
      <c r="A13" s="890" t="s">
        <v>578</v>
      </c>
      <c r="B13" s="976"/>
      <c r="C13" s="976"/>
      <c r="D13" s="976"/>
      <c r="E13" s="976"/>
      <c r="F13" s="802"/>
      <c r="G13" s="802"/>
      <c r="H13" s="802"/>
      <c r="I13" s="802"/>
      <c r="J13" s="802"/>
      <c r="K13" s="1020"/>
      <c r="L13" s="1021"/>
      <c r="M13" s="1022"/>
      <c r="N13" s="1023">
        <f>SUM(K13:M13)</f>
        <v>0</v>
      </c>
    </row>
    <row r="14" spans="1:14" ht="6" customHeight="1" x14ac:dyDescent="0.25">
      <c r="A14" s="802"/>
      <c r="B14" s="976"/>
      <c r="C14" s="976"/>
      <c r="D14" s="976"/>
      <c r="E14" s="976"/>
      <c r="F14" s="802"/>
      <c r="G14" s="802"/>
      <c r="H14" s="802"/>
      <c r="I14" s="802"/>
      <c r="J14" s="802"/>
      <c r="K14" s="1005"/>
      <c r="L14" s="1005"/>
      <c r="M14" s="861"/>
      <c r="N14" s="861"/>
    </row>
    <row r="15" spans="1:14" ht="24" customHeight="1" x14ac:dyDescent="0.25">
      <c r="A15" s="802"/>
      <c r="B15" s="976"/>
      <c r="C15" s="976"/>
      <c r="D15" s="976"/>
      <c r="E15" s="976"/>
      <c r="F15" s="802"/>
      <c r="G15" s="802"/>
      <c r="H15" s="802"/>
      <c r="I15" s="802"/>
      <c r="J15" s="802"/>
      <c r="K15" s="1005"/>
      <c r="L15" s="1005"/>
      <c r="M15" s="861"/>
      <c r="N15" s="861"/>
    </row>
    <row r="16" spans="1:14" ht="6" customHeight="1" thickBot="1" x14ac:dyDescent="0.3">
      <c r="A16" s="802"/>
      <c r="B16" s="976"/>
      <c r="C16" s="976"/>
      <c r="D16" s="976"/>
      <c r="E16" s="976"/>
      <c r="F16" s="802"/>
      <c r="G16" s="802"/>
      <c r="H16" s="802"/>
      <c r="I16" s="802"/>
      <c r="J16" s="802"/>
      <c r="K16" s="1005"/>
      <c r="L16" s="1005"/>
      <c r="M16" s="861"/>
      <c r="N16" s="861"/>
    </row>
    <row r="17" spans="1:23" ht="24" thickBot="1" x14ac:dyDescent="0.3">
      <c r="A17" s="1024" t="s">
        <v>580</v>
      </c>
      <c r="B17" s="803"/>
      <c r="C17" s="807"/>
      <c r="D17" s="807"/>
      <c r="E17" s="803"/>
      <c r="F17" s="1025"/>
      <c r="G17" s="805"/>
      <c r="H17" s="805"/>
      <c r="I17" s="805"/>
      <c r="J17" s="802"/>
      <c r="K17" s="861"/>
      <c r="L17" s="861"/>
      <c r="M17" s="861"/>
      <c r="N17" s="861"/>
    </row>
    <row r="18" spans="1:23" ht="23.25" hidden="1" x14ac:dyDescent="0.25">
      <c r="A18" s="873" t="s">
        <v>353</v>
      </c>
      <c r="B18" s="803"/>
      <c r="C18" s="1026">
        <f>'1-Ore funzionamento'!$Z$80*'1-Ore funzionamento'!AG7</f>
        <v>0</v>
      </c>
      <c r="D18" s="1026">
        <f>'1-Ore funzionamento'!$AC$91*'1-Ore funzionamento'!AG7</f>
        <v>0</v>
      </c>
      <c r="E18" s="803"/>
      <c r="F18" s="1027"/>
      <c r="G18" s="1027"/>
      <c r="H18" s="1027"/>
      <c r="I18" s="1027"/>
      <c r="J18" s="802"/>
      <c r="K18" s="1435"/>
      <c r="L18" s="1436"/>
      <c r="M18" s="1436"/>
      <c r="N18" s="1437"/>
      <c r="U18" s="463"/>
      <c r="V18" s="463"/>
      <c r="W18" s="463"/>
    </row>
    <row r="19" spans="1:23" ht="23.25" hidden="1" x14ac:dyDescent="0.25">
      <c r="A19" s="873" t="s">
        <v>354</v>
      </c>
      <c r="B19" s="803"/>
      <c r="C19" s="1030">
        <f>'1-Ore funzionamento'!$Z$80*'1-Ore funzionamento'!AG8</f>
        <v>0</v>
      </c>
      <c r="D19" s="1030">
        <f>'1-Ore funzionamento'!$AC$91*'1-Ore funzionamento'!AG8</f>
        <v>0</v>
      </c>
      <c r="E19" s="803"/>
      <c r="F19" s="1027"/>
      <c r="G19" s="1027"/>
      <c r="H19" s="1027"/>
      <c r="I19" s="1027"/>
      <c r="J19" s="802"/>
      <c r="K19" s="1438"/>
      <c r="L19" s="1439"/>
      <c r="M19" s="1439"/>
      <c r="N19" s="1440"/>
      <c r="U19" s="463"/>
      <c r="V19" s="463"/>
      <c r="W19" s="463"/>
    </row>
    <row r="20" spans="1:23" ht="23.25" hidden="1" x14ac:dyDescent="0.25">
      <c r="A20" s="873" t="s">
        <v>355</v>
      </c>
      <c r="B20" s="803"/>
      <c r="C20" s="1030">
        <f>'1-Ore funzionamento'!$Z$80*'1-Ore funzionamento'!AG9</f>
        <v>0</v>
      </c>
      <c r="D20" s="1030">
        <f>'1-Ore funzionamento'!$AC$91*'1-Ore funzionamento'!AG9</f>
        <v>0</v>
      </c>
      <c r="E20" s="803"/>
      <c r="F20" s="1027"/>
      <c r="G20" s="1027"/>
      <c r="H20" s="1027"/>
      <c r="I20" s="1027"/>
      <c r="J20" s="802"/>
      <c r="K20" s="1438"/>
      <c r="L20" s="1439"/>
      <c r="M20" s="1439"/>
      <c r="N20" s="1440"/>
      <c r="U20" s="463"/>
      <c r="V20" s="463"/>
      <c r="W20" s="463"/>
    </row>
    <row r="21" spans="1:23" ht="23.25" hidden="1" x14ac:dyDescent="0.25">
      <c r="A21" s="873" t="s">
        <v>356</v>
      </c>
      <c r="B21" s="803"/>
      <c r="C21" s="1030">
        <f>'1-Ore funzionamento'!$Z$80*'1-Ore funzionamento'!AG10</f>
        <v>0</v>
      </c>
      <c r="D21" s="1030">
        <f>'1-Ore funzionamento'!$AC$91*'1-Ore funzionamento'!AG10</f>
        <v>0</v>
      </c>
      <c r="E21" s="803"/>
      <c r="F21" s="1027"/>
      <c r="G21" s="1027"/>
      <c r="H21" s="1027"/>
      <c r="I21" s="1027"/>
      <c r="J21" s="802"/>
      <c r="K21" s="1438"/>
      <c r="L21" s="1439"/>
      <c r="M21" s="1439"/>
      <c r="N21" s="1440"/>
      <c r="P21" s="463"/>
      <c r="U21" s="463"/>
      <c r="V21" s="463"/>
      <c r="W21" s="463"/>
    </row>
    <row r="22" spans="1:23" ht="23.25" hidden="1" x14ac:dyDescent="0.25">
      <c r="A22" s="873" t="s">
        <v>357</v>
      </c>
      <c r="B22" s="803"/>
      <c r="C22" s="1030">
        <f>'1-Ore funzionamento'!$Z$80*'1-Ore funzionamento'!AG11</f>
        <v>0</v>
      </c>
      <c r="D22" s="1030">
        <f>'1-Ore funzionamento'!$AC$91*'1-Ore funzionamento'!AG11</f>
        <v>0</v>
      </c>
      <c r="E22" s="803"/>
      <c r="F22" s="1027"/>
      <c r="G22" s="1027"/>
      <c r="H22" s="1027"/>
      <c r="I22" s="1027"/>
      <c r="J22" s="802"/>
      <c r="K22" s="1438"/>
      <c r="L22" s="1439"/>
      <c r="M22" s="1439"/>
      <c r="N22" s="1440"/>
      <c r="U22" s="463"/>
      <c r="V22" s="463"/>
      <c r="W22" s="463"/>
    </row>
    <row r="23" spans="1:23" ht="23.25" hidden="1" x14ac:dyDescent="0.25">
      <c r="A23" s="873" t="s">
        <v>358</v>
      </c>
      <c r="B23" s="803"/>
      <c r="C23" s="1030">
        <f>'1-Ore funzionamento'!$Z$80*'1-Ore funzionamento'!AG12</f>
        <v>0</v>
      </c>
      <c r="D23" s="1030">
        <f>'1-Ore funzionamento'!$AC$91*'1-Ore funzionamento'!AG12</f>
        <v>0</v>
      </c>
      <c r="E23" s="803"/>
      <c r="F23" s="1027"/>
      <c r="G23" s="1027"/>
      <c r="H23" s="1027"/>
      <c r="I23" s="1027"/>
      <c r="J23" s="802"/>
      <c r="K23" s="1438"/>
      <c r="L23" s="1439"/>
      <c r="M23" s="1439"/>
      <c r="N23" s="1440"/>
      <c r="U23" s="463"/>
      <c r="V23" s="463"/>
      <c r="W23" s="463"/>
    </row>
    <row r="24" spans="1:23" ht="23.25" hidden="1" x14ac:dyDescent="0.25">
      <c r="A24" s="873" t="s">
        <v>359</v>
      </c>
      <c r="B24" s="803"/>
      <c r="C24" s="1030">
        <f>'1-Ore funzionamento'!$Z$80*'1-Ore funzionamento'!AG13</f>
        <v>0</v>
      </c>
      <c r="D24" s="1030">
        <f>'1-Ore funzionamento'!$AC$91*'1-Ore funzionamento'!AG13</f>
        <v>0</v>
      </c>
      <c r="E24" s="803"/>
      <c r="F24" s="1027"/>
      <c r="G24" s="1027"/>
      <c r="H24" s="1027"/>
      <c r="I24" s="1027"/>
      <c r="J24" s="802"/>
      <c r="K24" s="1438"/>
      <c r="L24" s="1439"/>
      <c r="M24" s="1439"/>
      <c r="N24" s="1440"/>
      <c r="U24" s="463"/>
      <c r="V24" s="463"/>
      <c r="W24" s="463"/>
    </row>
    <row r="25" spans="1:23" ht="24" hidden="1" thickBot="1" x14ac:dyDescent="0.3">
      <c r="A25" s="885" t="s">
        <v>360</v>
      </c>
      <c r="B25" s="803"/>
      <c r="C25" s="1030">
        <f>'1-Ore funzionamento'!$Z$80*'1-Ore funzionamento'!AG14</f>
        <v>0</v>
      </c>
      <c r="D25" s="1030">
        <f>'1-Ore funzionamento'!$AC$91*'1-Ore funzionamento'!AG14</f>
        <v>0</v>
      </c>
      <c r="E25" s="803"/>
      <c r="F25" s="1027"/>
      <c r="G25" s="1027"/>
      <c r="H25" s="1027"/>
      <c r="I25" s="1027"/>
      <c r="J25" s="802"/>
      <c r="K25" s="1441"/>
      <c r="L25" s="1442"/>
      <c r="M25" s="1442"/>
      <c r="N25" s="1443"/>
      <c r="U25" s="463"/>
      <c r="V25" s="463"/>
      <c r="W25" s="463"/>
    </row>
    <row r="26" spans="1:23" ht="24" thickBot="1" x14ac:dyDescent="0.3">
      <c r="A26" s="890" t="s">
        <v>581</v>
      </c>
      <c r="B26" s="803"/>
      <c r="C26" s="1034">
        <f>SUM(C18:C25)</f>
        <v>0</v>
      </c>
      <c r="D26" s="1035">
        <f>SUM(D18:D25)</f>
        <v>0</v>
      </c>
      <c r="E26" s="803"/>
      <c r="F26" s="1451">
        <f>(($C$26*'3-Caratteristiche dei sistemi'!I40)+($D$26*'3-Caratteristiche dei sistemi'!I51))*('2-Dati generali-Cond. utilizzo'!D23/100)</f>
        <v>0</v>
      </c>
      <c r="G26" s="1452"/>
      <c r="H26" s="1452"/>
      <c r="I26" s="1453"/>
      <c r="J26" s="802"/>
      <c r="K26" s="1454">
        <f>(($C$26*'3-Caratteristiche dei sistemi'!V40)+($D$26*'3-Caratteristiche dei sistemi'!V51))*('2-Dati generali-Cond. utilizzo'!D23/100)</f>
        <v>0</v>
      </c>
      <c r="L26" s="1452"/>
      <c r="M26" s="1452"/>
      <c r="N26" s="1453"/>
    </row>
    <row r="27" spans="1:23" ht="6" customHeight="1" thickBot="1" x14ac:dyDescent="0.3">
      <c r="A27" s="802"/>
      <c r="B27" s="976"/>
      <c r="C27" s="1036"/>
      <c r="D27" s="1036"/>
      <c r="E27" s="976"/>
      <c r="F27" s="802"/>
      <c r="G27" s="802"/>
      <c r="H27" s="802"/>
      <c r="I27" s="802"/>
      <c r="J27" s="802"/>
      <c r="K27" s="1005"/>
      <c r="L27" s="1005"/>
      <c r="M27" s="861"/>
      <c r="N27" s="861"/>
    </row>
    <row r="28" spans="1:23" ht="24" thickBot="1" x14ac:dyDescent="0.3">
      <c r="A28" s="1024" t="s">
        <v>582</v>
      </c>
      <c r="B28" s="803"/>
      <c r="C28" s="807"/>
      <c r="D28" s="807"/>
      <c r="E28" s="803"/>
      <c r="F28" s="805"/>
      <c r="G28" s="805"/>
      <c r="H28" s="805"/>
      <c r="I28" s="805"/>
      <c r="J28" s="802"/>
      <c r="K28" s="1037"/>
      <c r="L28" s="1037"/>
      <c r="M28" s="861"/>
      <c r="N28" s="861"/>
    </row>
    <row r="29" spans="1:23" ht="23.25" hidden="1" x14ac:dyDescent="0.25">
      <c r="A29" s="873" t="s">
        <v>353</v>
      </c>
      <c r="B29" s="803"/>
      <c r="C29" s="1026">
        <f t="shared" ref="C29:D36" si="1">C18</f>
        <v>0</v>
      </c>
      <c r="D29" s="1026">
        <f t="shared" si="1"/>
        <v>0</v>
      </c>
      <c r="E29" s="803"/>
      <c r="F29" s="1435"/>
      <c r="G29" s="1436"/>
      <c r="H29" s="1436"/>
      <c r="I29" s="1437"/>
      <c r="J29" s="804"/>
      <c r="K29" s="1435"/>
      <c r="L29" s="1436"/>
      <c r="M29" s="1436"/>
      <c r="N29" s="1437"/>
      <c r="P29" s="572"/>
      <c r="Q29" s="573"/>
      <c r="R29" s="574"/>
      <c r="S29" s="464"/>
    </row>
    <row r="30" spans="1:23" ht="23.25" hidden="1" x14ac:dyDescent="0.25">
      <c r="A30" s="873" t="s">
        <v>354</v>
      </c>
      <c r="B30" s="803"/>
      <c r="C30" s="1030">
        <f t="shared" si="1"/>
        <v>0</v>
      </c>
      <c r="D30" s="1030">
        <f t="shared" si="1"/>
        <v>0</v>
      </c>
      <c r="E30" s="803"/>
      <c r="F30" s="1438"/>
      <c r="G30" s="1444"/>
      <c r="H30" s="1444"/>
      <c r="I30" s="1440"/>
      <c r="J30" s="804"/>
      <c r="K30" s="1438"/>
      <c r="L30" s="1444"/>
      <c r="M30" s="1444"/>
      <c r="N30" s="1440"/>
      <c r="P30" s="572"/>
      <c r="Q30" s="575"/>
      <c r="R30" s="574"/>
      <c r="S30" s="464"/>
    </row>
    <row r="31" spans="1:23" ht="23.25" hidden="1" x14ac:dyDescent="0.25">
      <c r="A31" s="873" t="s">
        <v>355</v>
      </c>
      <c r="B31" s="803"/>
      <c r="C31" s="1030">
        <f t="shared" si="1"/>
        <v>0</v>
      </c>
      <c r="D31" s="1030">
        <f t="shared" si="1"/>
        <v>0</v>
      </c>
      <c r="E31" s="803"/>
      <c r="F31" s="1438"/>
      <c r="G31" s="1444"/>
      <c r="H31" s="1444"/>
      <c r="I31" s="1440"/>
      <c r="J31" s="804"/>
      <c r="K31" s="1438"/>
      <c r="L31" s="1444"/>
      <c r="M31" s="1444"/>
      <c r="N31" s="1440"/>
      <c r="P31" s="572"/>
      <c r="Q31" s="575"/>
      <c r="R31" s="574"/>
      <c r="S31" s="464"/>
    </row>
    <row r="32" spans="1:23" ht="23.25" hidden="1" x14ac:dyDescent="0.25">
      <c r="A32" s="873" t="s">
        <v>356</v>
      </c>
      <c r="B32" s="803"/>
      <c r="C32" s="1030">
        <f t="shared" si="1"/>
        <v>0</v>
      </c>
      <c r="D32" s="1030">
        <f t="shared" si="1"/>
        <v>0</v>
      </c>
      <c r="E32" s="803"/>
      <c r="F32" s="1438"/>
      <c r="G32" s="1444"/>
      <c r="H32" s="1444"/>
      <c r="I32" s="1440"/>
      <c r="J32" s="804"/>
      <c r="K32" s="1438"/>
      <c r="L32" s="1444"/>
      <c r="M32" s="1444"/>
      <c r="N32" s="1440"/>
      <c r="P32" s="572"/>
      <c r="Q32" s="575"/>
      <c r="R32" s="574"/>
      <c r="S32" s="464"/>
    </row>
    <row r="33" spans="1:25" ht="23.25" hidden="1" x14ac:dyDescent="0.25">
      <c r="A33" s="873" t="s">
        <v>357</v>
      </c>
      <c r="B33" s="803"/>
      <c r="C33" s="1030">
        <f t="shared" si="1"/>
        <v>0</v>
      </c>
      <c r="D33" s="1030">
        <f t="shared" si="1"/>
        <v>0</v>
      </c>
      <c r="E33" s="803"/>
      <c r="F33" s="1438"/>
      <c r="G33" s="1444"/>
      <c r="H33" s="1444"/>
      <c r="I33" s="1440"/>
      <c r="J33" s="804"/>
      <c r="K33" s="1438"/>
      <c r="L33" s="1444"/>
      <c r="M33" s="1444"/>
      <c r="N33" s="1440"/>
      <c r="P33" s="572"/>
      <c r="Q33" s="575"/>
      <c r="R33" s="574"/>
      <c r="S33" s="464"/>
    </row>
    <row r="34" spans="1:25" ht="23.25" hidden="1" x14ac:dyDescent="0.25">
      <c r="A34" s="873" t="s">
        <v>358</v>
      </c>
      <c r="B34" s="803"/>
      <c r="C34" s="1030">
        <f t="shared" si="1"/>
        <v>0</v>
      </c>
      <c r="D34" s="1030">
        <f t="shared" si="1"/>
        <v>0</v>
      </c>
      <c r="E34" s="803"/>
      <c r="F34" s="1438"/>
      <c r="G34" s="1444"/>
      <c r="H34" s="1444"/>
      <c r="I34" s="1440"/>
      <c r="J34" s="804"/>
      <c r="K34" s="1438"/>
      <c r="L34" s="1444"/>
      <c r="M34" s="1444"/>
      <c r="N34" s="1440"/>
      <c r="P34" s="572"/>
      <c r="Q34" s="575"/>
      <c r="R34" s="574"/>
      <c r="S34" s="464"/>
    </row>
    <row r="35" spans="1:25" ht="23.25" hidden="1" x14ac:dyDescent="0.25">
      <c r="A35" s="873" t="s">
        <v>359</v>
      </c>
      <c r="B35" s="803"/>
      <c r="C35" s="1030">
        <f t="shared" si="1"/>
        <v>0</v>
      </c>
      <c r="D35" s="1030">
        <f t="shared" si="1"/>
        <v>0</v>
      </c>
      <c r="E35" s="803"/>
      <c r="F35" s="1438"/>
      <c r="G35" s="1444"/>
      <c r="H35" s="1444"/>
      <c r="I35" s="1440"/>
      <c r="J35" s="804"/>
      <c r="K35" s="1438"/>
      <c r="L35" s="1444"/>
      <c r="M35" s="1444"/>
      <c r="N35" s="1440"/>
      <c r="P35" s="572"/>
      <c r="Q35" s="575"/>
      <c r="R35" s="574"/>
      <c r="S35" s="464"/>
    </row>
    <row r="36" spans="1:25" ht="24" hidden="1" thickBot="1" x14ac:dyDescent="0.3">
      <c r="A36" s="885" t="s">
        <v>360</v>
      </c>
      <c r="B36" s="803"/>
      <c r="C36" s="1030">
        <f t="shared" si="1"/>
        <v>0</v>
      </c>
      <c r="D36" s="1030">
        <f t="shared" si="1"/>
        <v>0</v>
      </c>
      <c r="E36" s="803"/>
      <c r="F36" s="1441"/>
      <c r="G36" s="1442"/>
      <c r="H36" s="1442"/>
      <c r="I36" s="1443"/>
      <c r="J36" s="804"/>
      <c r="K36" s="1441"/>
      <c r="L36" s="1442"/>
      <c r="M36" s="1442"/>
      <c r="N36" s="1443"/>
      <c r="P36" s="572"/>
      <c r="Q36" s="575"/>
      <c r="R36" s="574"/>
      <c r="S36" s="464"/>
    </row>
    <row r="37" spans="1:25" ht="24" thickBot="1" x14ac:dyDescent="0.3">
      <c r="A37" s="890" t="s">
        <v>583</v>
      </c>
      <c r="B37" s="803"/>
      <c r="C37" s="1034">
        <f>SUM(C29:C36)</f>
        <v>0</v>
      </c>
      <c r="D37" s="1035">
        <f>SUM(D29:D36)</f>
        <v>0</v>
      </c>
      <c r="E37" s="803"/>
      <c r="F37" s="1451">
        <f>(($C$26*'3-Caratteristiche dei sistemi'!I65)+($D$26*'3-Caratteristiche dei sistemi'!I76))*('2-Dati generali-Cond. utilizzo'!D21/100)</f>
        <v>0</v>
      </c>
      <c r="G37" s="1452"/>
      <c r="H37" s="1452"/>
      <c r="I37" s="1453"/>
      <c r="J37" s="804"/>
      <c r="K37" s="1454">
        <f>(($C$26*'3-Caratteristiche dei sistemi'!V65)+($D$26*'3-Caratteristiche dei sistemi'!V76))*('2-Dati generali-Cond. utilizzo'!D21/100)</f>
        <v>0</v>
      </c>
      <c r="L37" s="1452"/>
      <c r="M37" s="1452"/>
      <c r="N37" s="1453"/>
      <c r="P37" s="347"/>
      <c r="Q37" s="573"/>
      <c r="R37" s="573"/>
    </row>
    <row r="38" spans="1:25" ht="6" customHeight="1" thickBot="1" x14ac:dyDescent="0.3">
      <c r="A38" s="802"/>
      <c r="B38" s="799"/>
      <c r="C38" s="976"/>
      <c r="D38" s="976"/>
      <c r="E38" s="799"/>
      <c r="F38" s="1038"/>
      <c r="G38" s="1038"/>
      <c r="H38" s="1038"/>
      <c r="I38" s="804"/>
      <c r="J38" s="804"/>
      <c r="K38" s="932"/>
      <c r="L38" s="932"/>
      <c r="M38" s="976"/>
      <c r="N38" s="976"/>
      <c r="P38" s="347"/>
      <c r="Q38" s="347"/>
      <c r="R38" s="347"/>
    </row>
    <row r="39" spans="1:25" ht="27" customHeight="1" thickBot="1" x14ac:dyDescent="0.3">
      <c r="A39" s="890" t="s">
        <v>614</v>
      </c>
      <c r="B39" s="799"/>
      <c r="C39" s="1457">
        <f>SUM(C37:D37)</f>
        <v>0</v>
      </c>
      <c r="D39" s="1458"/>
      <c r="E39" s="799"/>
      <c r="F39" s="1038"/>
      <c r="G39" s="1038"/>
      <c r="H39" s="1038"/>
      <c r="I39" s="804"/>
      <c r="J39" s="804"/>
      <c r="K39" s="932"/>
      <c r="L39" s="932"/>
      <c r="M39" s="976"/>
      <c r="N39" s="976"/>
      <c r="P39" s="347"/>
      <c r="Q39" s="347"/>
      <c r="R39" s="347"/>
    </row>
    <row r="40" spans="1:25" ht="6" customHeight="1" thickBot="1" x14ac:dyDescent="0.3">
      <c r="A40" s="802"/>
      <c r="B40" s="799"/>
      <c r="C40" s="976"/>
      <c r="D40" s="976"/>
      <c r="E40" s="799"/>
      <c r="F40" s="1038"/>
      <c r="G40" s="1038"/>
      <c r="H40" s="1038"/>
      <c r="I40" s="804"/>
      <c r="J40" s="804"/>
      <c r="K40" s="932"/>
      <c r="L40" s="932"/>
      <c r="M40" s="976"/>
      <c r="N40" s="976"/>
      <c r="P40" s="347"/>
      <c r="Q40" s="347"/>
      <c r="R40" s="347"/>
    </row>
    <row r="41" spans="1:25" ht="27" thickBot="1" x14ac:dyDescent="0.3">
      <c r="A41" s="890" t="s">
        <v>584</v>
      </c>
      <c r="B41" s="807"/>
      <c r="C41" s="1461"/>
      <c r="D41" s="1462"/>
      <c r="E41" s="807"/>
      <c r="F41" s="1445"/>
      <c r="G41" s="1446"/>
      <c r="H41" s="1447"/>
      <c r="I41" s="1039">
        <f>SUM(I9,I11,F26,F37)</f>
        <v>0</v>
      </c>
      <c r="J41" s="932"/>
      <c r="K41" s="1445"/>
      <c r="L41" s="1446"/>
      <c r="M41" s="1447"/>
      <c r="N41" s="1040">
        <f>SUM(N9,N11,N13,K26,K37)</f>
        <v>0</v>
      </c>
      <c r="Q41" s="465"/>
    </row>
    <row r="42" spans="1:25" s="347" customFormat="1" ht="27" thickBot="1" x14ac:dyDescent="0.3">
      <c r="A42" s="1041"/>
      <c r="B42" s="807"/>
      <c r="C42" s="1042"/>
      <c r="D42" s="1043"/>
      <c r="E42" s="807"/>
      <c r="F42" s="1044"/>
      <c r="G42" s="1044"/>
      <c r="H42" s="1044"/>
      <c r="I42" s="1045"/>
      <c r="J42" s="1046"/>
      <c r="K42" s="1047"/>
      <c r="L42" s="1047"/>
      <c r="M42" s="1047"/>
      <c r="N42" s="1047"/>
    </row>
    <row r="43" spans="1:25" ht="27" thickBot="1" x14ac:dyDescent="0.3">
      <c r="A43" s="890" t="s">
        <v>672</v>
      </c>
      <c r="B43" s="1048"/>
      <c r="C43" s="1049"/>
      <c r="D43" s="1050"/>
      <c r="E43" s="1048"/>
      <c r="F43" s="1445"/>
      <c r="G43" s="1446"/>
      <c r="H43" s="1447"/>
      <c r="I43" s="1051">
        <f>IF(OR('2-Dati generali-Cond. utilizzo'!$C$43=1,'2-Dati generali-Cond. utilizzo'!$C$43=3),((($C$26*'3-Caratteristiche dei sistemi'!I$40+$D$26*'3-Caratteristiche dei sistemi'!I$51)*'Dati x formule'!J4)+(($C$37*'3-Caratteristiche dei sistemi'!I$65+$D$37*'3-Caratteristiche dei sistemi'!I$76)*'Dati x formule'!J5))/1000,((($C$26*'3-Caratteristiche dei sistemi'!I$40+$D$26*'3-Caratteristiche dei sistemi'!I$51)*'Dati x formule'!J4)+(($C$37*'3-Caratteristiche dei sistemi'!I$65+$D$37*'3-Caratteristiche dei sistemi'!I$76)*'Dati x formule'!J6))/1000)</f>
        <v>0</v>
      </c>
      <c r="J43" s="1052"/>
      <c r="K43" s="1445"/>
      <c r="L43" s="1446"/>
      <c r="M43" s="1447"/>
      <c r="N43" s="1051">
        <f>IF(OR('2-Dati generali-Cond. utilizzo'!$C$43=1,'2-Dati generali-Cond. utilizzo'!$C$43=3),((($C$26*'3-Caratteristiche dei sistemi'!V$40+$D$26*'3-Caratteristiche dei sistemi'!V$51)*'Dati x formule'!J4)+(($C$37*'3-Caratteristiche dei sistemi'!V$65+$D$37*'3-Caratteristiche dei sistemi'!V$76)*'Dati x formule'!J5))/1000,((($C$26*'3-Caratteristiche dei sistemi'!V$40+$D$26*'3-Caratteristiche dei sistemi'!V$51)*'Dati x formule'!J4)+(($C$37*'3-Caratteristiche dei sistemi'!V$65+$D$37*'3-Caratteristiche dei sistemi'!V$76)*'Dati x formule'!J6))/1000)</f>
        <v>0</v>
      </c>
    </row>
    <row r="44" spans="1:25" ht="23.25" customHeight="1" x14ac:dyDescent="0.25">
      <c r="A44" s="802"/>
      <c r="B44" s="976"/>
      <c r="C44" s="976"/>
      <c r="D44" s="976"/>
      <c r="E44" s="976"/>
      <c r="F44" s="1053"/>
      <c r="G44" s="802"/>
      <c r="H44" s="802"/>
      <c r="I44" s="802"/>
      <c r="J44" s="802"/>
      <c r="K44" s="1005"/>
      <c r="L44" s="1005"/>
      <c r="M44" s="861"/>
      <c r="N44" s="861"/>
    </row>
    <row r="45" spans="1:25" ht="23.25" x14ac:dyDescent="0.25">
      <c r="A45" s="1269" t="s">
        <v>590</v>
      </c>
      <c r="B45" s="1269"/>
      <c r="C45" s="1269"/>
      <c r="D45" s="1269"/>
      <c r="E45" s="1269"/>
      <c r="F45" s="1269"/>
      <c r="G45" s="1269"/>
      <c r="H45" s="1054"/>
      <c r="I45" s="1054"/>
      <c r="J45" s="802"/>
      <c r="K45" s="1005"/>
      <c r="L45" s="1005"/>
      <c r="M45" s="861"/>
      <c r="N45" s="861"/>
    </row>
    <row r="46" spans="1:25" ht="10.5" customHeight="1" thickBot="1" x14ac:dyDescent="0.3">
      <c r="A46" s="803"/>
      <c r="B46" s="803"/>
      <c r="C46" s="803"/>
      <c r="D46" s="803"/>
      <c r="E46" s="803"/>
      <c r="F46" s="803"/>
      <c r="G46" s="803"/>
      <c r="H46" s="803"/>
      <c r="I46" s="803"/>
      <c r="J46" s="802"/>
      <c r="K46" s="1005"/>
      <c r="L46" s="1005"/>
      <c r="M46" s="861"/>
      <c r="N46" s="861"/>
    </row>
    <row r="47" spans="1:25" ht="25.5" customHeight="1" thickBot="1" x14ac:dyDescent="0.3">
      <c r="A47" s="1055" t="s">
        <v>585</v>
      </c>
      <c r="B47" s="1056"/>
      <c r="C47" s="1057" t="s">
        <v>13</v>
      </c>
      <c r="D47" s="1056"/>
      <c r="E47" s="1058"/>
      <c r="F47" s="1455" t="str">
        <f>IF('4-Costi sistemi'!G29="","",-'4-Costi sistemi'!$G$29)</f>
        <v/>
      </c>
      <c r="G47" s="1456"/>
      <c r="H47" s="862"/>
      <c r="I47" s="1059"/>
      <c r="J47" s="1060"/>
      <c r="K47" s="1060"/>
      <c r="L47" s="1060"/>
      <c r="M47" s="1060"/>
      <c r="N47" s="1060"/>
    </row>
    <row r="48" spans="1:25" ht="23.25" customHeight="1" thickBot="1" x14ac:dyDescent="0.25">
      <c r="A48" s="1061"/>
      <c r="B48" s="803"/>
      <c r="C48" s="803"/>
      <c r="D48" s="803"/>
      <c r="E48" s="803"/>
      <c r="F48" s="994"/>
      <c r="G48" s="994"/>
      <c r="H48" s="994"/>
      <c r="I48" s="1060"/>
      <c r="J48" s="1060"/>
      <c r="K48" s="1060"/>
      <c r="L48" s="1060"/>
      <c r="M48" s="1060"/>
      <c r="N48" s="1060"/>
      <c r="T48" s="349"/>
      <c r="U48" s="360"/>
      <c r="V48" s="360"/>
      <c r="W48" s="360"/>
      <c r="X48" s="360"/>
      <c r="Y48" s="360"/>
    </row>
    <row r="49" spans="1:25" ht="72" customHeight="1" x14ac:dyDescent="0.2">
      <c r="A49" s="1062" t="s">
        <v>673</v>
      </c>
      <c r="B49" s="1063"/>
      <c r="C49" s="1064" t="s">
        <v>586</v>
      </c>
      <c r="D49" s="1063"/>
      <c r="E49" s="1063"/>
      <c r="F49" s="1616" t="str">
        <f>IF(I43=0,"",IF(N43&lt;I43,"",I43-N43))</f>
        <v/>
      </c>
      <c r="G49" s="1617"/>
      <c r="H49" s="861"/>
      <c r="I49" s="1060"/>
      <c r="J49" s="1060"/>
      <c r="K49" s="1060"/>
      <c r="L49" s="1060"/>
      <c r="M49" s="1060"/>
      <c r="N49" s="1060"/>
      <c r="T49" s="360"/>
      <c r="U49" s="360"/>
      <c r="V49" s="360"/>
      <c r="W49" s="360"/>
      <c r="X49" s="360"/>
      <c r="Y49" s="360"/>
    </row>
    <row r="50" spans="1:25" ht="36" customHeight="1" x14ac:dyDescent="0.2">
      <c r="A50" s="1065" t="s">
        <v>673</v>
      </c>
      <c r="B50" s="803"/>
      <c r="C50" s="1459" t="s">
        <v>15</v>
      </c>
      <c r="D50" s="803"/>
      <c r="E50" s="803"/>
      <c r="F50" s="1612" t="str">
        <f>IF(I43=0,"",IF(N43&lt;I43,"",-(1-I43/N43)))</f>
        <v/>
      </c>
      <c r="G50" s="1613"/>
      <c r="H50" s="861"/>
      <c r="I50" s="1060"/>
      <c r="J50" s="1060"/>
      <c r="K50" s="1060"/>
      <c r="L50" s="1060"/>
      <c r="M50" s="1060"/>
      <c r="N50" s="1060"/>
      <c r="T50" s="360"/>
      <c r="U50" s="360"/>
      <c r="V50" s="360"/>
      <c r="W50" s="360"/>
      <c r="X50" s="360"/>
      <c r="Y50" s="360"/>
    </row>
    <row r="51" spans="1:25" ht="36" customHeight="1" x14ac:dyDescent="0.2">
      <c r="A51" s="1066" t="s">
        <v>674</v>
      </c>
      <c r="B51" s="803"/>
      <c r="C51" s="1460"/>
      <c r="D51" s="803"/>
      <c r="E51" s="803"/>
      <c r="F51" s="1614"/>
      <c r="G51" s="1615"/>
      <c r="H51" s="1067"/>
      <c r="I51" s="861"/>
      <c r="J51" s="861"/>
      <c r="K51" s="861"/>
      <c r="L51" s="861"/>
      <c r="M51" s="861"/>
      <c r="N51" s="861"/>
      <c r="T51" s="360"/>
      <c r="U51" s="360"/>
      <c r="V51" s="360"/>
      <c r="W51" s="360"/>
      <c r="X51" s="360"/>
      <c r="Y51" s="360"/>
    </row>
    <row r="52" spans="1:25" ht="24.6" customHeight="1" x14ac:dyDescent="0.2">
      <c r="A52" s="1448" t="s">
        <v>587</v>
      </c>
      <c r="B52" s="1068"/>
      <c r="C52" s="979" t="s">
        <v>13</v>
      </c>
      <c r="D52" s="1068"/>
      <c r="E52" s="803"/>
      <c r="F52" s="1449" t="str">
        <f>IF(I41=0,"",IF(N41&lt;I41,"",(N41-I41)))</f>
        <v/>
      </c>
      <c r="G52" s="1450"/>
      <c r="H52" s="1069"/>
      <c r="I52" s="1069"/>
      <c r="J52" s="802"/>
      <c r="K52" s="1070"/>
      <c r="L52" s="1070"/>
      <c r="M52" s="861"/>
      <c r="N52" s="1071"/>
      <c r="T52" s="360"/>
      <c r="U52" s="360"/>
      <c r="V52" s="360"/>
      <c r="W52" s="360"/>
      <c r="X52" s="360"/>
      <c r="Y52" s="360"/>
    </row>
    <row r="53" spans="1:25" ht="24.6" customHeight="1" x14ac:dyDescent="0.25">
      <c r="A53" s="1448"/>
      <c r="B53" s="1068"/>
      <c r="C53" s="979" t="s">
        <v>15</v>
      </c>
      <c r="D53" s="1068"/>
      <c r="E53" s="803"/>
      <c r="F53" s="1618" t="str">
        <f>IF(I41=0,"",IF(N41&lt;I41,"",1-I41/N41))</f>
        <v/>
      </c>
      <c r="G53" s="1619"/>
      <c r="H53" s="861"/>
      <c r="I53" s="1072"/>
      <c r="J53" s="802"/>
      <c r="K53" s="1005"/>
      <c r="L53" s="861"/>
      <c r="M53" s="861"/>
      <c r="N53" s="861"/>
    </row>
    <row r="54" spans="1:25" ht="31.5" x14ac:dyDescent="0.25">
      <c r="A54" s="1073" t="s">
        <v>365</v>
      </c>
      <c r="B54" s="1074"/>
      <c r="C54" s="1075" t="s">
        <v>17</v>
      </c>
      <c r="D54" s="1074"/>
      <c r="E54" s="1076"/>
      <c r="F54" s="1620" t="str">
        <f>IF(F47="","",IF(N41&lt;I41,"",-'4-Costi sistemi'!$G$29/('5-Costi di funziona.- pay back'!F52+('4bis-Incentivi'!C7+'4bis-Incentivi'!C25+'4bis-Incentivi'!C36+'4bis-Incentivi'!C45)-('4bis-Incentivi'!G7+'4bis-Incentivi'!G25+'4bis-Incentivi'!G36+'4bis-Incentivi'!C45))))</f>
        <v/>
      </c>
      <c r="G54" s="1621"/>
      <c r="H54" s="1077"/>
      <c r="I54" s="1077"/>
      <c r="J54" s="802"/>
      <c r="K54" s="1005"/>
      <c r="L54" s="861"/>
      <c r="M54" s="861"/>
      <c r="N54" s="861"/>
    </row>
    <row r="55" spans="1:25" ht="31.5" x14ac:dyDescent="0.25">
      <c r="A55" s="1182" t="s">
        <v>747</v>
      </c>
      <c r="B55" s="1076"/>
      <c r="C55" s="979" t="s">
        <v>13</v>
      </c>
      <c r="D55" s="1076"/>
      <c r="E55" s="1076"/>
      <c r="F55" s="1622" t="str">
        <f>IF(('4bis-Incentivi'!C7+'4bis-Incentivi'!C25+'4bis-Incentivi'!C36+'4bis-Incentivi'!C45)&gt;0,'4bis-Incentivi'!C7+'4bis-Incentivi'!C25+'4bis-Incentivi'!C36+'4bis-Incentivi'!C45,"")</f>
        <v/>
      </c>
      <c r="G55" s="1623"/>
      <c r="H55" s="1077"/>
      <c r="I55" s="1077"/>
      <c r="J55" s="802"/>
      <c r="K55" s="1005"/>
      <c r="L55" s="861"/>
      <c r="M55" s="861"/>
      <c r="N55" s="861"/>
    </row>
    <row r="56" spans="1:25" ht="32.25" thickBot="1" x14ac:dyDescent="0.4">
      <c r="A56" s="1078" t="s">
        <v>588</v>
      </c>
      <c r="B56" s="1079"/>
      <c r="C56" s="1080" t="s">
        <v>206</v>
      </c>
      <c r="D56" s="1079"/>
      <c r="E56" s="1079"/>
      <c r="F56" s="1624" t="str">
        <f>IF(OR(T75=0,T75&lt;0),"",T75)</f>
        <v/>
      </c>
      <c r="G56" s="1625"/>
      <c r="H56" s="1077"/>
      <c r="I56" s="1077"/>
      <c r="J56" s="802"/>
      <c r="K56" s="1005"/>
      <c r="L56" s="1081" t="s">
        <v>591</v>
      </c>
      <c r="M56" s="861"/>
      <c r="N56" s="861"/>
    </row>
    <row r="57" spans="1:25" ht="15" customHeight="1" thickBot="1" x14ac:dyDescent="0.4">
      <c r="A57" s="802"/>
      <c r="B57" s="799"/>
      <c r="C57" s="976"/>
      <c r="D57" s="799"/>
      <c r="E57" s="799"/>
      <c r="F57" s="802"/>
      <c r="G57" s="1082">
        <f>T75</f>
        <v>0</v>
      </c>
      <c r="H57" s="802"/>
      <c r="I57" s="802"/>
      <c r="J57" s="802"/>
      <c r="K57" s="1005"/>
      <c r="L57" s="1083"/>
      <c r="M57" s="861"/>
      <c r="N57" s="861"/>
    </row>
    <row r="58" spans="1:25" ht="144" customHeight="1" x14ac:dyDescent="0.35">
      <c r="A58" s="1062" t="s">
        <v>673</v>
      </c>
      <c r="B58" s="1063"/>
      <c r="C58" s="1064" t="s">
        <v>80</v>
      </c>
      <c r="D58" s="1063"/>
      <c r="E58" s="1063"/>
      <c r="F58" s="1616" t="str">
        <f>IF('3-Caratteristiche dei sistemi'!$I$23="NO","",IF(AND('3-Caratteristiche dei sistemi'!$I$23&gt;0,'2-Dati generali-Cond. utilizzo'!$C$43=1),I43-(N43+('3-Caratteristiche dei sistemi'!$I$23/'Dati x formule'!D4*'2-Dati generali-Cond. utilizzo'!$D$13/'Dati x formule'!$C$8*1.87/1000)),IF(AND('3-Caratteristiche dei sistemi'!$I$23&gt;0,'2-Dati generali-Cond. utilizzo'!$C$43=2),I43-(N43+('3-Caratteristiche dei sistemi'!$I$23/'Dati x formule'!D5*'2-Dati generali-Cond. utilizzo'!$D$13/'Dati x formule'!$C$8*3/1000)),I43-(N43+('3-Caratteristiche dei sistemi'!$I$23/'Dati x formule'!D6*'2-Dati generali-Cond. utilizzo'!$D$13/'Dati x formule'!$C$8*1.87/1000)))))</f>
        <v/>
      </c>
      <c r="G58" s="1617"/>
      <c r="H58" s="802"/>
      <c r="I58" s="802"/>
      <c r="J58" s="802"/>
      <c r="K58" s="1005"/>
      <c r="L58" s="1083"/>
      <c r="M58" s="861"/>
      <c r="N58" s="861"/>
    </row>
    <row r="59" spans="1:25" ht="30" hidden="1" customHeight="1" x14ac:dyDescent="0.35">
      <c r="A59" s="1084" t="s">
        <v>589</v>
      </c>
      <c r="B59" s="803"/>
      <c r="C59" s="979" t="s">
        <v>81</v>
      </c>
      <c r="D59" s="803"/>
      <c r="E59" s="803"/>
      <c r="F59" s="1626" t="str">
        <f>IF(F61="","",'3-Caratteristiche dei sistemi'!I25*'1-Ore funzionamento'!Z80)</f>
        <v/>
      </c>
      <c r="G59" s="1627"/>
      <c r="H59" s="802"/>
      <c r="I59" s="802"/>
      <c r="J59" s="802"/>
      <c r="K59" s="1005"/>
      <c r="L59" s="1085" t="s">
        <v>484</v>
      </c>
      <c r="M59" s="861"/>
      <c r="N59" s="861"/>
    </row>
    <row r="60" spans="1:25" ht="31.5" x14ac:dyDescent="0.25">
      <c r="A60" s="1084" t="s">
        <v>665</v>
      </c>
      <c r="B60" s="803"/>
      <c r="C60" s="979" t="s">
        <v>347</v>
      </c>
      <c r="D60" s="803"/>
      <c r="E60" s="803"/>
      <c r="F60" s="1626" t="str">
        <f>IF(F59="","",'3-Caratteristiche dei sistemi'!I23*'1-Ore funzionamento'!Z80)</f>
        <v/>
      </c>
      <c r="G60" s="1627"/>
      <c r="H60" s="802"/>
      <c r="I60" s="802"/>
      <c r="J60" s="802"/>
      <c r="K60" s="1005"/>
      <c r="L60" s="1086" t="s">
        <v>697</v>
      </c>
      <c r="M60" s="861"/>
      <c r="N60" s="861"/>
    </row>
    <row r="61" spans="1:25" ht="31.5" x14ac:dyDescent="0.25">
      <c r="A61" s="1448" t="s">
        <v>735</v>
      </c>
      <c r="B61" s="1068"/>
      <c r="C61" s="979" t="s">
        <v>13</v>
      </c>
      <c r="D61" s="1068"/>
      <c r="E61" s="803"/>
      <c r="F61" s="1449" t="str">
        <f>IF('3-Caratteristiche dei sistemi'!$I$23=0,"",IF('3-Caratteristiche dei sistemi'!$I$23="NO","",IF(AND('3-Caratteristiche dei sistemi'!$I$23&gt;0,'2-Dati generali-Cond. utilizzo'!$C$43=1),(N41+('3-Caratteristiche dei sistemi'!$I$23/'Dati x formule'!$D$4*'2-Dati generali-Cond. utilizzo'!$D$13/'Dati x formule'!C8*('2-Dati generali-Cond. utilizzo'!$D$21/100))-I41),IF(AND('3-Caratteristiche dei sistemi'!$I$23&gt;0,'2-Dati generali-Cond. utilizzo'!$C$43=2),(N41+('3-Caratteristiche dei sistemi'!$I$23/'Dati x formule'!$D$5*'2-Dati generali-Cond. utilizzo'!$D$13/'Dati x formule'!C8*('2-Dati generali-Cond. utilizzo'!$D$21/100))-I41),((N41+('3-Caratteristiche dei sistemi'!$I$23/'Dati x formule'!$D$6*'2-Dati generali-Cond. utilizzo'!$D$13/'Dati x formule'!C8*('2-Dati generali-Cond. utilizzo'!$D$21/100)))-I41)))))</f>
        <v/>
      </c>
      <c r="G61" s="1450"/>
      <c r="H61" s="1069"/>
      <c r="I61" s="1069"/>
      <c r="J61" s="802"/>
      <c r="K61" s="1087"/>
      <c r="L61" s="1088">
        <v>43760</v>
      </c>
      <c r="M61" s="861"/>
      <c r="N61" s="861"/>
    </row>
    <row r="62" spans="1:25" ht="31.5" x14ac:dyDescent="0.25">
      <c r="A62" s="1448"/>
      <c r="B62" s="1068"/>
      <c r="C62" s="979" t="s">
        <v>15</v>
      </c>
      <c r="D62" s="1068"/>
      <c r="E62" s="803"/>
      <c r="F62" s="1628" t="str">
        <f>IF(F61="","",IF(AND(F61&gt;0,'2-Dati generali-Cond. utilizzo'!C43=1),1-(I41/(N41+('3-Caratteristiche dei sistemi'!I23/'Dati x formule'!$D$4*'2-Dati generali-Cond. utilizzo'!D13*('2-Dati generali-Cond. utilizzo'!D21/100)))),IF(AND(F61&gt;0,'2-Dati generali-Cond. utilizzo'!C43=2),1-(I41/(N41+('3-Caratteristiche dei sistemi'!I23/'Dati x formule'!$D$5*'2-Dati generali-Cond. utilizzo'!D13*('2-Dati generali-Cond. utilizzo'!D21/100)))),1-(I41/(N41+('3-Caratteristiche dei sistemi'!I23/'Dati x formule'!$D$6*'2-Dati generali-Cond. utilizzo'!D13*('2-Dati generali-Cond. utilizzo'!D21/100)))))))</f>
        <v/>
      </c>
      <c r="G62" s="1629"/>
      <c r="H62" s="1089"/>
      <c r="I62" s="1089"/>
      <c r="J62" s="861"/>
      <c r="K62" s="861"/>
      <c r="L62" s="861"/>
      <c r="M62" s="861"/>
      <c r="N62" s="861"/>
    </row>
    <row r="63" spans="1:25" ht="31.5" x14ac:dyDescent="0.35">
      <c r="A63" s="1073" t="s">
        <v>734</v>
      </c>
      <c r="B63" s="1074"/>
      <c r="C63" s="1075" t="s">
        <v>17</v>
      </c>
      <c r="D63" s="1074"/>
      <c r="E63" s="1076"/>
      <c r="F63" s="1620" t="str">
        <f>IF(F47="","",IF(F61="","",-'4-Costi sistemi'!$G$29/('5-Costi di funziona.- pay back'!F61+('4bis-Incentivi'!C7+'4bis-Incentivi'!C25+'4bis-Incentivi'!C36+'4bis-Incentivi'!C45)-('4bis-Incentivi'!G7+'4bis-Incentivi'!G25+'4bis-Incentivi'!G36+'4bis-Incentivi'!C45))))</f>
        <v/>
      </c>
      <c r="G63" s="1621"/>
      <c r="H63" s="1077"/>
      <c r="I63" s="1077"/>
      <c r="J63" s="861"/>
      <c r="K63" s="861"/>
      <c r="L63" s="1083"/>
      <c r="M63" s="861"/>
      <c r="N63" s="861"/>
    </row>
    <row r="64" spans="1:25" ht="31.5" x14ac:dyDescent="0.35">
      <c r="A64" s="1182" t="s">
        <v>747</v>
      </c>
      <c r="B64" s="1076"/>
      <c r="C64" s="979" t="s">
        <v>13</v>
      </c>
      <c r="D64" s="1076"/>
      <c r="E64" s="1076"/>
      <c r="F64" s="1630" t="str">
        <f>IF(('4bis-Incentivi'!C7+'4bis-Incentivi'!C25+'4bis-Incentivi'!C36+'4bis-Incentivi'!C45)&gt;0,'4bis-Incentivi'!C7+'4bis-Incentivi'!C25+'4bis-Incentivi'!C36+'4bis-Incentivi'!C45,"")</f>
        <v/>
      </c>
      <c r="G64" s="1623"/>
      <c r="H64" s="1077"/>
      <c r="I64" s="1077"/>
      <c r="J64" s="861"/>
      <c r="K64" s="861"/>
      <c r="L64" s="1083"/>
      <c r="M64" s="861"/>
      <c r="N64" s="861"/>
    </row>
    <row r="65" spans="1:20" ht="32.25" thickBot="1" x14ac:dyDescent="0.3">
      <c r="A65" s="1078" t="s">
        <v>588</v>
      </c>
      <c r="B65" s="1079"/>
      <c r="C65" s="1080" t="s">
        <v>206</v>
      </c>
      <c r="D65" s="1079"/>
      <c r="E65" s="1079"/>
      <c r="F65" s="1624" t="str">
        <f>IF(G59=0,"",IF(G57+(F60/'Dati x formule'!C8)&lt;0,"",G57+(F60/'Dati x formule'!C8)))</f>
        <v/>
      </c>
      <c r="G65" s="1625"/>
      <c r="H65" s="861"/>
      <c r="I65" s="861"/>
      <c r="J65" s="861"/>
      <c r="K65" s="861"/>
      <c r="L65" s="861"/>
      <c r="M65" s="861"/>
      <c r="N65" s="861"/>
    </row>
    <row r="68" spans="1:20" ht="15.75" hidden="1" x14ac:dyDescent="0.25">
      <c r="B68" s="1432" t="s">
        <v>482</v>
      </c>
      <c r="C68" s="1433"/>
      <c r="D68" s="1434" t="s">
        <v>314</v>
      </c>
      <c r="E68" s="1433"/>
      <c r="F68" s="566"/>
      <c r="G68" s="558" t="s">
        <v>72</v>
      </c>
      <c r="I68" s="1432" t="s">
        <v>482</v>
      </c>
      <c r="J68" s="1433"/>
      <c r="K68" s="1434" t="s">
        <v>314</v>
      </c>
      <c r="L68" s="1433"/>
      <c r="N68" s="561" t="s">
        <v>478</v>
      </c>
      <c r="O68" s="561" t="s">
        <v>479</v>
      </c>
      <c r="Q68" s="1432" t="s">
        <v>482</v>
      </c>
      <c r="R68" s="1433"/>
      <c r="S68" s="1434" t="s">
        <v>314</v>
      </c>
      <c r="T68" s="1433"/>
    </row>
    <row r="69" spans="1:20" ht="15.75" hidden="1" x14ac:dyDescent="0.25">
      <c r="B69" s="550" t="s">
        <v>206</v>
      </c>
      <c r="C69" s="550" t="s">
        <v>53</v>
      </c>
      <c r="D69" s="553" t="s">
        <v>206</v>
      </c>
      <c r="E69" s="553" t="s">
        <v>53</v>
      </c>
      <c r="F69" s="171"/>
      <c r="G69" s="556" t="s">
        <v>214</v>
      </c>
      <c r="H69"/>
      <c r="I69" s="550" t="s">
        <v>206</v>
      </c>
      <c r="J69" s="550" t="s">
        <v>53</v>
      </c>
      <c r="K69" s="553" t="s">
        <v>206</v>
      </c>
      <c r="L69" s="553" t="s">
        <v>53</v>
      </c>
      <c r="N69" s="561"/>
      <c r="O69" s="561"/>
      <c r="Q69" s="555"/>
      <c r="R69" s="555"/>
      <c r="S69" s="563"/>
      <c r="T69" s="563"/>
    </row>
    <row r="70" spans="1:20" ht="20.25" hidden="1" x14ac:dyDescent="0.25">
      <c r="A70" s="567" t="s">
        <v>480</v>
      </c>
      <c r="B70" s="551">
        <f>'3-Caratteristiche dei sistemi'!V40</f>
        <v>0</v>
      </c>
      <c r="C70" s="552">
        <f>'3-Caratteristiche dei sistemi'!V65</f>
        <v>0</v>
      </c>
      <c r="D70" s="554">
        <f>'3-Caratteristiche dei sistemi'!I40</f>
        <v>0</v>
      </c>
      <c r="E70" s="554">
        <f>'3-Caratteristiche dei sistemi'!I65</f>
        <v>0</v>
      </c>
      <c r="F70" s="384"/>
      <c r="G70" s="557">
        <f>'1-Ore funzionamento'!Z80</f>
        <v>0</v>
      </c>
      <c r="I70" s="560">
        <f>B70*$G$70</f>
        <v>0</v>
      </c>
      <c r="J70" s="560">
        <f>C70*$G$70</f>
        <v>0</v>
      </c>
      <c r="K70" s="559">
        <f>D70*$G$70</f>
        <v>0</v>
      </c>
      <c r="L70" s="559">
        <f>E70*$G$70</f>
        <v>0</v>
      </c>
      <c r="N70" s="561">
        <v>0.4</v>
      </c>
      <c r="O70" s="561">
        <f>IF('2-Dati generali-Cond. utilizzo'!C43=1,'Dati x formule'!D4,IF('2-Dati generali-Cond. utilizzo'!C43=2,'Dati x formule'!D5,'Dati x formule'!D6))</f>
        <v>9.4499999999999993</v>
      </c>
      <c r="Q70" s="562">
        <f>I70/$N$70</f>
        <v>0</v>
      </c>
      <c r="R70" s="562">
        <f>J70*$O$70</f>
        <v>0</v>
      </c>
      <c r="S70" s="564">
        <f>K70/$N$70</f>
        <v>0</v>
      </c>
      <c r="T70" s="564">
        <f>L70*$O$70</f>
        <v>0</v>
      </c>
    </row>
    <row r="71" spans="1:20" ht="20.25" hidden="1" x14ac:dyDescent="0.25">
      <c r="A71" s="567" t="s">
        <v>481</v>
      </c>
      <c r="B71" s="551">
        <f>'3-Caratteristiche dei sistemi'!V51</f>
        <v>0</v>
      </c>
      <c r="C71" s="552">
        <f>'3-Caratteristiche dei sistemi'!V76</f>
        <v>0</v>
      </c>
      <c r="D71" s="554">
        <f>'3-Caratteristiche dei sistemi'!I51</f>
        <v>0</v>
      </c>
      <c r="E71" s="554">
        <f>'3-Caratteristiche dei sistemi'!I76</f>
        <v>0</v>
      </c>
      <c r="F71" s="384"/>
      <c r="G71" s="557">
        <f>'1-Ore funzionamento'!AC91</f>
        <v>0</v>
      </c>
      <c r="I71" s="560">
        <f>B71*$G$71</f>
        <v>0</v>
      </c>
      <c r="J71" s="560">
        <f>C71*$G$71</f>
        <v>0</v>
      </c>
      <c r="K71" s="559">
        <f>D71*$G$71</f>
        <v>0</v>
      </c>
      <c r="L71" s="559">
        <f>E71*$G$71</f>
        <v>0</v>
      </c>
      <c r="N71" s="561"/>
      <c r="O71" s="561"/>
      <c r="Q71" s="562">
        <f>I71/$N$70</f>
        <v>0</v>
      </c>
      <c r="R71" s="562">
        <f>J71*$O$70</f>
        <v>0</v>
      </c>
      <c r="S71" s="564">
        <f>K71/$N$70</f>
        <v>0</v>
      </c>
      <c r="T71" s="564">
        <f>L71*$O$70</f>
        <v>0</v>
      </c>
    </row>
    <row r="72" spans="1:20" hidden="1" x14ac:dyDescent="0.25">
      <c r="B72" s="348"/>
      <c r="F72" s="384"/>
    </row>
    <row r="73" spans="1:20" hidden="1" x14ac:dyDescent="0.25">
      <c r="B73" s="348"/>
      <c r="F73" s="384"/>
      <c r="R73" s="562">
        <f>Q70+R70+Q71+R71</f>
        <v>0</v>
      </c>
      <c r="T73" s="564">
        <f>S70+T70+S71+T71</f>
        <v>0</v>
      </c>
    </row>
    <row r="74" spans="1:20" hidden="1" x14ac:dyDescent="0.25">
      <c r="B74" s="348"/>
      <c r="F74" s="384"/>
    </row>
    <row r="75" spans="1:20" ht="18" hidden="1" x14ac:dyDescent="0.25">
      <c r="B75" s="348"/>
      <c r="F75" s="384"/>
      <c r="P75" s="568" t="s">
        <v>483</v>
      </c>
      <c r="Q75" s="569"/>
      <c r="R75" s="569"/>
      <c r="S75" s="569"/>
      <c r="T75" s="565">
        <f>R73-T73</f>
        <v>0</v>
      </c>
    </row>
  </sheetData>
  <mergeCells count="42">
    <mergeCell ref="C39:D39"/>
    <mergeCell ref="F63:G63"/>
    <mergeCell ref="F61:G61"/>
    <mergeCell ref="F62:G62"/>
    <mergeCell ref="F60:G60"/>
    <mergeCell ref="C50:C51"/>
    <mergeCell ref="C41:D41"/>
    <mergeCell ref="F55:G55"/>
    <mergeCell ref="A52:A53"/>
    <mergeCell ref="F54:G54"/>
    <mergeCell ref="A61:A62"/>
    <mergeCell ref="A1:N1"/>
    <mergeCell ref="F52:G52"/>
    <mergeCell ref="F53:G53"/>
    <mergeCell ref="A45:G45"/>
    <mergeCell ref="F3:I3"/>
    <mergeCell ref="F43:H43"/>
    <mergeCell ref="F26:I26"/>
    <mergeCell ref="F29:I36"/>
    <mergeCell ref="K43:M43"/>
    <mergeCell ref="K26:N26"/>
    <mergeCell ref="K37:N37"/>
    <mergeCell ref="F37:I37"/>
    <mergeCell ref="F47:G47"/>
    <mergeCell ref="K3:N3"/>
    <mergeCell ref="K18:N25"/>
    <mergeCell ref="F50:G51"/>
    <mergeCell ref="S68:T68"/>
    <mergeCell ref="K29:N36"/>
    <mergeCell ref="K41:M41"/>
    <mergeCell ref="F41:H41"/>
    <mergeCell ref="Q68:R68"/>
    <mergeCell ref="F58:G58"/>
    <mergeCell ref="F56:G56"/>
    <mergeCell ref="F49:G49"/>
    <mergeCell ref="F64:G64"/>
    <mergeCell ref="B68:C68"/>
    <mergeCell ref="D68:E68"/>
    <mergeCell ref="I68:J68"/>
    <mergeCell ref="K68:L68"/>
    <mergeCell ref="F59:G59"/>
    <mergeCell ref="F65:G65"/>
  </mergeCells>
  <phoneticPr fontId="7" type="noConversion"/>
  <printOptions horizontalCentered="1"/>
  <pageMargins left="0.17" right="0.16" top="0.41" bottom="0.21" header="0.17" footer="0.16"/>
  <pageSetup paperSize="9" scale="48" orientation="landscape" horizontalDpi="300" verticalDpi="1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7"/>
  <dimension ref="A1:O128"/>
  <sheetViews>
    <sheetView zoomScale="55" workbookViewId="0">
      <selection activeCell="D57" sqref="D57:H57"/>
    </sheetView>
  </sheetViews>
  <sheetFormatPr defaultRowHeight="15" x14ac:dyDescent="0.2"/>
  <cols>
    <col min="1" max="1" width="6.875" style="373" customWidth="1"/>
    <col min="2" max="2" width="46.75" style="373" customWidth="1"/>
    <col min="3" max="3" width="9" style="374"/>
    <col min="4" max="5" width="10.375" style="374" bestFit="1" customWidth="1"/>
    <col min="6" max="7" width="10.375" style="374" customWidth="1"/>
    <col min="8" max="8" width="9" style="374"/>
    <col min="9" max="13" width="9" style="373"/>
    <col min="14" max="14" width="12.375" style="373" customWidth="1"/>
    <col min="15" max="16384" width="9" style="373"/>
  </cols>
  <sheetData>
    <row r="1" spans="1:14" s="368" customFormat="1" ht="31.5" customHeight="1" thickBot="1" x14ac:dyDescent="0.45">
      <c r="C1" s="369"/>
      <c r="D1" s="1472" t="s">
        <v>366</v>
      </c>
      <c r="E1" s="1473"/>
      <c r="F1" s="1473"/>
      <c r="G1" s="1473"/>
      <c r="H1" s="1473"/>
      <c r="I1" s="1473"/>
      <c r="J1" s="1473"/>
      <c r="K1" s="1473"/>
      <c r="L1" s="1473"/>
      <c r="M1" s="1473"/>
      <c r="N1" s="1474"/>
    </row>
    <row r="2" spans="1:14" s="368" customFormat="1" ht="27" thickBot="1" x14ac:dyDescent="0.45">
      <c r="C2" s="369"/>
      <c r="D2" s="1490" t="s">
        <v>4</v>
      </c>
      <c r="E2" s="1491"/>
      <c r="F2" s="1491"/>
      <c r="G2" s="1491"/>
      <c r="H2" s="1492"/>
      <c r="I2" s="388"/>
      <c r="J2" s="1493" t="s">
        <v>352</v>
      </c>
      <c r="K2" s="1494"/>
      <c r="L2" s="1494"/>
      <c r="M2" s="1494"/>
      <c r="N2" s="1495"/>
    </row>
    <row r="3" spans="1:14" s="368" customFormat="1" ht="15.75" thickBot="1" x14ac:dyDescent="0.25">
      <c r="C3" s="369"/>
      <c r="D3" s="389"/>
      <c r="E3" s="354"/>
      <c r="F3" s="354"/>
      <c r="G3" s="354"/>
      <c r="H3" s="390"/>
      <c r="I3" s="391"/>
      <c r="J3" s="391"/>
      <c r="K3" s="391"/>
      <c r="L3" s="391"/>
      <c r="M3" s="391"/>
      <c r="N3" s="392"/>
    </row>
    <row r="4" spans="1:14" s="348" customFormat="1" ht="46.5" customHeight="1" x14ac:dyDescent="0.25">
      <c r="A4" s="1518" t="s">
        <v>367</v>
      </c>
      <c r="B4" s="393" t="s">
        <v>362</v>
      </c>
      <c r="C4" s="394" t="s">
        <v>13</v>
      </c>
      <c r="D4" s="1499" t="str">
        <f>'5-Costi di funziona.- pay back'!F47</f>
        <v/>
      </c>
      <c r="E4" s="1499"/>
      <c r="F4" s="1499"/>
      <c r="G4" s="1500"/>
      <c r="H4" s="1501"/>
      <c r="I4" s="395"/>
      <c r="J4" s="347"/>
      <c r="K4" s="347"/>
      <c r="L4" s="347"/>
      <c r="M4" s="347"/>
      <c r="N4" s="396"/>
    </row>
    <row r="5" spans="1:14" s="348" customFormat="1" ht="6" customHeight="1" x14ac:dyDescent="0.25">
      <c r="A5" s="1519"/>
      <c r="B5" s="397"/>
      <c r="C5" s="346"/>
      <c r="D5" s="398"/>
      <c r="E5" s="398"/>
      <c r="F5" s="398"/>
      <c r="G5" s="398"/>
      <c r="H5" s="399"/>
      <c r="I5" s="400"/>
      <c r="J5" s="401"/>
      <c r="K5" s="401"/>
      <c r="L5" s="347"/>
      <c r="M5" s="347"/>
      <c r="N5" s="396"/>
    </row>
    <row r="6" spans="1:14" s="353" customFormat="1" ht="23.25" customHeight="1" x14ac:dyDescent="0.35">
      <c r="A6" s="1519"/>
      <c r="B6" s="402" t="s">
        <v>368</v>
      </c>
      <c r="C6" s="448" t="s">
        <v>214</v>
      </c>
      <c r="D6" s="1496">
        <f>'1-Ore funzionamento'!Y103</f>
        <v>0</v>
      </c>
      <c r="E6" s="1497"/>
      <c r="F6" s="1497"/>
      <c r="G6" s="1497"/>
      <c r="H6" s="1498"/>
      <c r="I6" s="362"/>
      <c r="N6" s="403"/>
    </row>
    <row r="7" spans="1:14" s="353" customFormat="1" ht="6" customHeight="1" x14ac:dyDescent="0.35">
      <c r="A7" s="1519"/>
      <c r="B7" s="404"/>
      <c r="C7" s="449"/>
      <c r="D7" s="405"/>
      <c r="E7" s="406"/>
      <c r="F7" s="406"/>
      <c r="G7" s="406"/>
      <c r="H7" s="407"/>
      <c r="I7" s="362"/>
      <c r="N7" s="403"/>
    </row>
    <row r="8" spans="1:14" s="353" customFormat="1" ht="23.25" customHeight="1" x14ac:dyDescent="0.2">
      <c r="A8" s="1519"/>
      <c r="B8" s="1521" t="s">
        <v>369</v>
      </c>
      <c r="C8" s="1523" t="s">
        <v>119</v>
      </c>
      <c r="D8" s="1463">
        <f>'1-Ore funzionamento'!Y102</f>
        <v>0</v>
      </c>
      <c r="E8" s="1464"/>
      <c r="F8" s="1464"/>
      <c r="G8" s="1464"/>
      <c r="H8" s="1465"/>
      <c r="I8" s="362"/>
      <c r="N8" s="403"/>
    </row>
    <row r="9" spans="1:14" s="353" customFormat="1" ht="23.25" customHeight="1" thickBot="1" x14ac:dyDescent="0.25">
      <c r="A9" s="1519"/>
      <c r="B9" s="1522"/>
      <c r="C9" s="1524"/>
      <c r="D9" s="1464"/>
      <c r="E9" s="1464"/>
      <c r="F9" s="1464"/>
      <c r="G9" s="1464"/>
      <c r="H9" s="1465"/>
      <c r="I9" s="408"/>
      <c r="J9" s="409"/>
      <c r="K9" s="409"/>
      <c r="L9" s="409"/>
      <c r="M9" s="409"/>
      <c r="N9" s="410"/>
    </row>
    <row r="10" spans="1:14" s="353" customFormat="1" ht="6" customHeight="1" x14ac:dyDescent="0.35">
      <c r="A10" s="1519"/>
      <c r="B10" s="404"/>
      <c r="C10" s="449"/>
      <c r="D10" s="405"/>
      <c r="E10" s="405"/>
      <c r="F10" s="405"/>
      <c r="G10" s="405"/>
      <c r="H10" s="411"/>
      <c r="I10" s="412"/>
      <c r="J10" s="413"/>
      <c r="K10" s="414"/>
      <c r="L10" s="414"/>
      <c r="M10" s="414"/>
      <c r="N10" s="415"/>
    </row>
    <row r="11" spans="1:14" s="348" customFormat="1" ht="23.25" x14ac:dyDescent="0.25">
      <c r="A11" s="1519"/>
      <c r="B11" s="1525" t="s">
        <v>370</v>
      </c>
      <c r="C11" s="1527" t="s">
        <v>13</v>
      </c>
      <c r="D11" s="1466">
        <f>'5-Costi di funziona.- pay back'!I41</f>
        <v>0</v>
      </c>
      <c r="E11" s="1467"/>
      <c r="F11" s="1467"/>
      <c r="G11" s="1467"/>
      <c r="H11" s="1468"/>
      <c r="I11" s="416"/>
      <c r="J11" s="1479">
        <f>'5-Costi di funziona.- pay back'!N41</f>
        <v>0</v>
      </c>
      <c r="K11" s="1480"/>
      <c r="L11" s="1480"/>
      <c r="M11" s="1481"/>
      <c r="N11" s="1482"/>
    </row>
    <row r="12" spans="1:14" s="348" customFormat="1" ht="23.25" x14ac:dyDescent="0.25">
      <c r="A12" s="1519"/>
      <c r="B12" s="1526"/>
      <c r="C12" s="1528"/>
      <c r="D12" s="1469"/>
      <c r="E12" s="1470"/>
      <c r="F12" s="1470"/>
      <c r="G12" s="1470"/>
      <c r="H12" s="1471"/>
      <c r="I12" s="417"/>
      <c r="J12" s="1483"/>
      <c r="K12" s="1484"/>
      <c r="L12" s="1484"/>
      <c r="M12" s="1484"/>
      <c r="N12" s="1485"/>
    </row>
    <row r="13" spans="1:14" s="353" customFormat="1" ht="6" customHeight="1" x14ac:dyDescent="0.35">
      <c r="A13" s="1519"/>
      <c r="B13" s="404"/>
      <c r="C13" s="449"/>
      <c r="D13" s="405"/>
      <c r="E13" s="405"/>
      <c r="F13" s="405"/>
      <c r="G13" s="405"/>
      <c r="H13" s="411"/>
      <c r="I13" s="362"/>
      <c r="J13" s="418"/>
      <c r="K13" s="419"/>
      <c r="L13" s="419"/>
      <c r="M13" s="419"/>
      <c r="N13" s="420"/>
    </row>
    <row r="14" spans="1:14" s="348" customFormat="1" ht="23.25" x14ac:dyDescent="0.25">
      <c r="A14" s="1519"/>
      <c r="B14" s="1525" t="s">
        <v>371</v>
      </c>
      <c r="C14" s="1527" t="s">
        <v>13</v>
      </c>
      <c r="D14" s="1466" t="e">
        <f>D11/D8</f>
        <v>#DIV/0!</v>
      </c>
      <c r="E14" s="1467"/>
      <c r="F14" s="1467"/>
      <c r="G14" s="1467"/>
      <c r="H14" s="1468"/>
      <c r="I14" s="417"/>
      <c r="J14" s="1486" t="e">
        <f>J11/D8</f>
        <v>#DIV/0!</v>
      </c>
      <c r="K14" s="1487"/>
      <c r="L14" s="1487"/>
      <c r="M14" s="1488"/>
      <c r="N14" s="1489"/>
    </row>
    <row r="15" spans="1:14" s="348" customFormat="1" ht="23.25" x14ac:dyDescent="0.25">
      <c r="A15" s="1519"/>
      <c r="B15" s="1526"/>
      <c r="C15" s="1528"/>
      <c r="D15" s="1469"/>
      <c r="E15" s="1470"/>
      <c r="F15" s="1470"/>
      <c r="G15" s="1470"/>
      <c r="H15" s="1471"/>
      <c r="I15" s="417"/>
      <c r="J15" s="1483"/>
      <c r="K15" s="1484"/>
      <c r="L15" s="1484"/>
      <c r="M15" s="1484"/>
      <c r="N15" s="1485"/>
    </row>
    <row r="16" spans="1:14" s="353" customFormat="1" ht="6" customHeight="1" x14ac:dyDescent="0.35">
      <c r="A16" s="1519"/>
      <c r="B16" s="404"/>
      <c r="C16" s="449"/>
      <c r="D16" s="405"/>
      <c r="E16" s="405"/>
      <c r="F16" s="405"/>
      <c r="G16" s="405"/>
      <c r="H16" s="411"/>
      <c r="I16" s="362"/>
      <c r="J16" s="418"/>
      <c r="K16" s="419"/>
      <c r="L16" s="419"/>
      <c r="M16" s="419"/>
      <c r="N16" s="420"/>
    </row>
    <row r="17" spans="1:15" s="348" customFormat="1" ht="23.25" x14ac:dyDescent="0.25">
      <c r="A17" s="1519"/>
      <c r="B17" s="1525" t="s">
        <v>372</v>
      </c>
      <c r="C17" s="1527" t="s">
        <v>13</v>
      </c>
      <c r="D17" s="1466" t="e">
        <f>D11/D6</f>
        <v>#DIV/0!</v>
      </c>
      <c r="E17" s="1467"/>
      <c r="F17" s="1467"/>
      <c r="G17" s="1467"/>
      <c r="H17" s="1468"/>
      <c r="I17" s="417"/>
      <c r="J17" s="1486" t="e">
        <f>J11/D6</f>
        <v>#DIV/0!</v>
      </c>
      <c r="K17" s="1487"/>
      <c r="L17" s="1487"/>
      <c r="M17" s="1488"/>
      <c r="N17" s="1489"/>
    </row>
    <row r="18" spans="1:15" s="348" customFormat="1" ht="24" thickBot="1" x14ac:dyDescent="0.3">
      <c r="A18" s="1520"/>
      <c r="B18" s="1526"/>
      <c r="C18" s="1528"/>
      <c r="D18" s="1469"/>
      <c r="E18" s="1470"/>
      <c r="F18" s="1470"/>
      <c r="G18" s="1470"/>
      <c r="H18" s="1471"/>
      <c r="I18" s="417"/>
      <c r="J18" s="1483"/>
      <c r="K18" s="1484"/>
      <c r="L18" s="1484"/>
      <c r="M18" s="1484"/>
      <c r="N18" s="1485"/>
    </row>
    <row r="19" spans="1:15" s="348" customFormat="1" ht="6" customHeight="1" thickBot="1" x14ac:dyDescent="0.3">
      <c r="A19" s="421"/>
      <c r="B19" s="422"/>
      <c r="C19" s="423"/>
      <c r="D19" s="424"/>
      <c r="E19" s="424"/>
      <c r="F19" s="424"/>
      <c r="G19" s="424"/>
      <c r="H19" s="425"/>
      <c r="I19" s="426"/>
      <c r="J19" s="427"/>
      <c r="K19" s="427"/>
      <c r="L19" s="428"/>
      <c r="M19" s="428"/>
      <c r="N19" s="426"/>
      <c r="O19" s="400"/>
    </row>
    <row r="20" spans="1:15" s="348" customFormat="1" ht="23.25" customHeight="1" x14ac:dyDescent="0.25">
      <c r="A20" s="1518" t="s">
        <v>373</v>
      </c>
      <c r="B20" s="429" t="s">
        <v>363</v>
      </c>
      <c r="C20" s="394" t="s">
        <v>80</v>
      </c>
      <c r="D20" s="1506" t="str">
        <f>'5-Costi di funziona.- pay back'!F49</f>
        <v/>
      </c>
      <c r="E20" s="1507"/>
      <c r="F20" s="1507"/>
      <c r="G20" s="1507"/>
      <c r="H20" s="1508"/>
      <c r="I20" s="430"/>
      <c r="J20" s="401"/>
      <c r="K20" s="401"/>
      <c r="L20" s="347"/>
      <c r="M20" s="347"/>
      <c r="N20" s="396"/>
    </row>
    <row r="21" spans="1:15" s="348" customFormat="1" ht="6" customHeight="1" x14ac:dyDescent="0.25">
      <c r="A21" s="1530"/>
      <c r="B21" s="397"/>
      <c r="C21" s="346"/>
      <c r="D21" s="398"/>
      <c r="E21" s="398"/>
      <c r="F21" s="398"/>
      <c r="G21" s="398"/>
      <c r="H21" s="399"/>
      <c r="I21" s="400"/>
      <c r="J21" s="401"/>
      <c r="K21" s="401"/>
      <c r="L21" s="347"/>
      <c r="M21" s="347"/>
      <c r="N21" s="396"/>
    </row>
    <row r="22" spans="1:15" s="348" customFormat="1" ht="23.25" x14ac:dyDescent="0.25">
      <c r="A22" s="1530"/>
      <c r="B22" s="1532" t="s">
        <v>364</v>
      </c>
      <c r="C22" s="383" t="s">
        <v>13</v>
      </c>
      <c r="D22" s="1475" t="str">
        <f>'5-Costi di funziona.- pay back'!F52</f>
        <v/>
      </c>
      <c r="E22" s="1475"/>
      <c r="F22" s="1475"/>
      <c r="G22" s="1475"/>
      <c r="H22" s="1476"/>
      <c r="I22" s="417"/>
      <c r="J22" s="1502"/>
      <c r="K22" s="1502"/>
      <c r="L22" s="1502"/>
      <c r="M22" s="347"/>
      <c r="N22" s="396"/>
    </row>
    <row r="23" spans="1:15" s="348" customFormat="1" ht="23.25" x14ac:dyDescent="0.25">
      <c r="A23" s="1530"/>
      <c r="B23" s="1533"/>
      <c r="C23" s="383" t="s">
        <v>15</v>
      </c>
      <c r="D23" s="1509" t="str">
        <f>'5-Costi di funziona.- pay back'!F53</f>
        <v/>
      </c>
      <c r="E23" s="1510"/>
      <c r="F23" s="1510"/>
      <c r="G23" s="1510"/>
      <c r="H23" s="1511"/>
      <c r="I23" s="417"/>
      <c r="J23" s="432"/>
      <c r="K23" s="432"/>
      <c r="L23" s="432"/>
      <c r="M23" s="347"/>
      <c r="N23" s="396"/>
    </row>
    <row r="24" spans="1:15" s="348" customFormat="1" ht="6" customHeight="1" x14ac:dyDescent="0.25">
      <c r="A24" s="1530"/>
      <c r="B24" s="397"/>
      <c r="C24" s="346"/>
      <c r="D24" s="398"/>
      <c r="E24" s="398"/>
      <c r="F24" s="398"/>
      <c r="G24" s="398"/>
      <c r="H24" s="399"/>
      <c r="I24" s="400"/>
      <c r="J24" s="401"/>
      <c r="K24" s="401"/>
      <c r="L24" s="347"/>
      <c r="M24" s="347"/>
      <c r="N24" s="396"/>
    </row>
    <row r="25" spans="1:15" s="348" customFormat="1" ht="23.25" customHeight="1" x14ac:dyDescent="0.25">
      <c r="A25" s="1530"/>
      <c r="B25" s="431" t="s">
        <v>379</v>
      </c>
      <c r="C25" s="383" t="s">
        <v>13</v>
      </c>
      <c r="D25" s="1475" t="e">
        <f>D22/D8</f>
        <v>#VALUE!</v>
      </c>
      <c r="E25" s="1475"/>
      <c r="F25" s="1475"/>
      <c r="G25" s="1475"/>
      <c r="H25" s="1476"/>
      <c r="I25" s="400"/>
      <c r="J25" s="401"/>
      <c r="K25" s="401"/>
      <c r="L25" s="433"/>
      <c r="M25" s="347"/>
      <c r="N25" s="396"/>
    </row>
    <row r="26" spans="1:15" s="348" customFormat="1" ht="6" customHeight="1" x14ac:dyDescent="0.25">
      <c r="A26" s="1530"/>
      <c r="B26" s="434"/>
      <c r="C26" s="435"/>
      <c r="D26" s="436"/>
      <c r="E26" s="437"/>
      <c r="F26" s="437"/>
      <c r="G26" s="437"/>
      <c r="H26" s="438"/>
      <c r="I26" s="400"/>
      <c r="J26" s="401"/>
      <c r="K26" s="401"/>
      <c r="L26" s="433"/>
      <c r="M26" s="347"/>
      <c r="N26" s="396"/>
    </row>
    <row r="27" spans="1:15" s="348" customFormat="1" ht="23.25" customHeight="1" x14ac:dyDescent="0.25">
      <c r="A27" s="1530"/>
      <c r="B27" s="431" t="s">
        <v>380</v>
      </c>
      <c r="C27" s="383" t="s">
        <v>13</v>
      </c>
      <c r="D27" s="1512" t="e">
        <f>D22/D6</f>
        <v>#VALUE!</v>
      </c>
      <c r="E27" s="1513"/>
      <c r="F27" s="1513"/>
      <c r="G27" s="1513"/>
      <c r="H27" s="1514"/>
      <c r="I27" s="400"/>
      <c r="J27" s="401"/>
      <c r="K27" s="401"/>
      <c r="L27" s="347"/>
      <c r="M27" s="347"/>
      <c r="N27" s="396"/>
    </row>
    <row r="28" spans="1:15" s="348" customFormat="1" ht="6" customHeight="1" x14ac:dyDescent="0.25">
      <c r="A28" s="1530"/>
      <c r="B28" s="439"/>
      <c r="C28" s="345"/>
      <c r="D28" s="440"/>
      <c r="E28" s="440"/>
      <c r="F28" s="440"/>
      <c r="G28" s="440"/>
      <c r="H28" s="441"/>
      <c r="I28" s="417"/>
      <c r="J28" s="432"/>
      <c r="K28" s="432"/>
      <c r="L28" s="432"/>
      <c r="M28" s="347"/>
      <c r="N28" s="396"/>
    </row>
    <row r="29" spans="1:15" s="348" customFormat="1" ht="24" thickBot="1" x14ac:dyDescent="0.3">
      <c r="A29" s="1531"/>
      <c r="B29" s="431" t="s">
        <v>365</v>
      </c>
      <c r="C29" s="383" t="s">
        <v>17</v>
      </c>
      <c r="D29" s="1512" t="str">
        <f>'5-Costi di funziona.- pay back'!F54</f>
        <v/>
      </c>
      <c r="E29" s="1513"/>
      <c r="F29" s="1513"/>
      <c r="G29" s="1513"/>
      <c r="H29" s="1514"/>
      <c r="I29" s="417"/>
      <c r="J29" s="1535"/>
      <c r="K29" s="1535"/>
      <c r="L29" s="1535"/>
      <c r="M29" s="1536"/>
      <c r="N29" s="1537"/>
    </row>
    <row r="30" spans="1:15" s="348" customFormat="1" ht="6" customHeight="1" thickBot="1" x14ac:dyDescent="0.3">
      <c r="A30" s="442"/>
      <c r="B30" s="422"/>
      <c r="C30" s="423"/>
      <c r="D30" s="424"/>
      <c r="E30" s="424"/>
      <c r="F30" s="424"/>
      <c r="G30" s="424"/>
      <c r="H30" s="443"/>
      <c r="I30" s="444"/>
      <c r="J30" s="427"/>
      <c r="K30" s="427"/>
      <c r="L30" s="428"/>
      <c r="M30" s="428"/>
      <c r="N30" s="426"/>
    </row>
    <row r="31" spans="1:15" s="348" customFormat="1" ht="23.25" customHeight="1" x14ac:dyDescent="0.25">
      <c r="A31" s="1518" t="s">
        <v>374</v>
      </c>
      <c r="B31" s="429" t="s">
        <v>363</v>
      </c>
      <c r="C31" s="394" t="s">
        <v>80</v>
      </c>
      <c r="D31" s="1506" t="str">
        <f>'5-Costi di funziona.- pay back'!F58</f>
        <v/>
      </c>
      <c r="E31" s="1507"/>
      <c r="F31" s="1507"/>
      <c r="G31" s="1507"/>
      <c r="H31" s="1508"/>
      <c r="I31" s="400"/>
      <c r="J31" s="401"/>
      <c r="K31" s="401"/>
      <c r="L31" s="347"/>
      <c r="M31" s="347"/>
      <c r="N31" s="396"/>
    </row>
    <row r="32" spans="1:15" s="348" customFormat="1" ht="6" customHeight="1" x14ac:dyDescent="0.25">
      <c r="A32" s="1519"/>
      <c r="B32" s="397"/>
      <c r="C32" s="346"/>
      <c r="D32" s="398"/>
      <c r="E32" s="398"/>
      <c r="F32" s="398"/>
      <c r="G32" s="398"/>
      <c r="H32" s="399"/>
      <c r="I32" s="400"/>
      <c r="J32" s="401"/>
      <c r="K32" s="401"/>
      <c r="L32" s="347"/>
      <c r="M32" s="347"/>
      <c r="N32" s="396"/>
    </row>
    <row r="33" spans="1:14" s="348" customFormat="1" ht="23.25" customHeight="1" x14ac:dyDescent="0.25">
      <c r="A33" s="1519"/>
      <c r="B33" s="1532" t="s">
        <v>364</v>
      </c>
      <c r="C33" s="383" t="s">
        <v>13</v>
      </c>
      <c r="D33" s="1475" t="str">
        <f>'5-Costi di funziona.- pay back'!F61</f>
        <v/>
      </c>
      <c r="E33" s="1475"/>
      <c r="F33" s="1475"/>
      <c r="G33" s="1475"/>
      <c r="H33" s="1476"/>
      <c r="I33" s="400"/>
      <c r="J33" s="401"/>
      <c r="K33" s="401"/>
      <c r="L33" s="347"/>
      <c r="M33" s="347"/>
      <c r="N33" s="396"/>
    </row>
    <row r="34" spans="1:14" s="348" customFormat="1" ht="23.25" customHeight="1" x14ac:dyDescent="0.25">
      <c r="A34" s="1519"/>
      <c r="B34" s="1533"/>
      <c r="C34" s="383" t="s">
        <v>15</v>
      </c>
      <c r="D34" s="1509" t="str">
        <f>'5-Costi di funziona.- pay back'!F62</f>
        <v/>
      </c>
      <c r="E34" s="1510"/>
      <c r="F34" s="1510"/>
      <c r="G34" s="1510"/>
      <c r="H34" s="1511"/>
      <c r="I34" s="400"/>
      <c r="J34" s="401"/>
      <c r="K34" s="401"/>
      <c r="L34" s="347"/>
      <c r="M34" s="347"/>
      <c r="N34" s="396"/>
    </row>
    <row r="35" spans="1:14" s="348" customFormat="1" ht="6" customHeight="1" x14ac:dyDescent="0.25">
      <c r="A35" s="1519"/>
      <c r="B35" s="397"/>
      <c r="C35" s="346"/>
      <c r="D35" s="398"/>
      <c r="E35" s="398"/>
      <c r="F35" s="398"/>
      <c r="G35" s="398"/>
      <c r="H35" s="399"/>
      <c r="I35" s="400"/>
      <c r="J35" s="401"/>
      <c r="K35" s="401"/>
      <c r="L35" s="347"/>
      <c r="M35" s="347"/>
      <c r="N35" s="396"/>
    </row>
    <row r="36" spans="1:14" s="348" customFormat="1" ht="23.25" customHeight="1" x14ac:dyDescent="0.25">
      <c r="A36" s="1519"/>
      <c r="B36" s="431" t="s">
        <v>379</v>
      </c>
      <c r="C36" s="383" t="s">
        <v>13</v>
      </c>
      <c r="D36" s="1475" t="e">
        <f>D33/D8</f>
        <v>#VALUE!</v>
      </c>
      <c r="E36" s="1475"/>
      <c r="F36" s="1475"/>
      <c r="G36" s="1475"/>
      <c r="H36" s="1476"/>
      <c r="I36" s="400"/>
      <c r="J36" s="401"/>
      <c r="K36" s="401"/>
      <c r="L36" s="347"/>
      <c r="M36" s="347"/>
      <c r="N36" s="396"/>
    </row>
    <row r="37" spans="1:14" s="348" customFormat="1" ht="6" customHeight="1" x14ac:dyDescent="0.25">
      <c r="A37" s="1519"/>
      <c r="B37" s="434"/>
      <c r="C37" s="435"/>
      <c r="D37" s="436"/>
      <c r="E37" s="437"/>
      <c r="F37" s="437"/>
      <c r="G37" s="437"/>
      <c r="H37" s="438"/>
      <c r="I37" s="400"/>
      <c r="J37" s="401"/>
      <c r="K37" s="401"/>
      <c r="L37" s="347"/>
      <c r="M37" s="347"/>
      <c r="N37" s="396"/>
    </row>
    <row r="38" spans="1:14" s="348" customFormat="1" ht="23.25" customHeight="1" x14ac:dyDescent="0.25">
      <c r="A38" s="1519"/>
      <c r="B38" s="431" t="s">
        <v>380</v>
      </c>
      <c r="C38" s="383" t="s">
        <v>13</v>
      </c>
      <c r="D38" s="1512" t="e">
        <f>D33/D6</f>
        <v>#VALUE!</v>
      </c>
      <c r="E38" s="1513"/>
      <c r="F38" s="1513"/>
      <c r="G38" s="1513"/>
      <c r="H38" s="1514"/>
      <c r="I38" s="400"/>
      <c r="J38" s="401"/>
      <c r="K38" s="401"/>
      <c r="L38" s="347"/>
      <c r="M38" s="347"/>
      <c r="N38" s="396"/>
    </row>
    <row r="39" spans="1:14" s="348" customFormat="1" ht="6" customHeight="1" x14ac:dyDescent="0.25">
      <c r="A39" s="1519"/>
      <c r="B39" s="397"/>
      <c r="C39" s="346"/>
      <c r="D39" s="398"/>
      <c r="E39" s="398"/>
      <c r="F39" s="398"/>
      <c r="G39" s="398"/>
      <c r="H39" s="399"/>
      <c r="I39" s="400"/>
      <c r="J39" s="401"/>
      <c r="K39" s="401"/>
      <c r="L39" s="347"/>
      <c r="M39" s="347"/>
      <c r="N39" s="396"/>
    </row>
    <row r="40" spans="1:14" s="348" customFormat="1" ht="23.25" customHeight="1" thickBot="1" x14ac:dyDescent="0.3">
      <c r="A40" s="1520"/>
      <c r="B40" s="431" t="s">
        <v>365</v>
      </c>
      <c r="C40" s="383" t="s">
        <v>17</v>
      </c>
      <c r="D40" s="1512" t="str">
        <f>'5-Costi di funziona.- pay back'!F63</f>
        <v/>
      </c>
      <c r="E40" s="1513"/>
      <c r="F40" s="1513"/>
      <c r="G40" s="1513"/>
      <c r="H40" s="1514"/>
      <c r="I40" s="400"/>
      <c r="J40" s="401"/>
      <c r="K40" s="401"/>
      <c r="L40" s="347"/>
      <c r="M40" s="347"/>
      <c r="N40" s="396"/>
    </row>
    <row r="41" spans="1:14" s="348" customFormat="1" ht="6" customHeight="1" thickBot="1" x14ac:dyDescent="0.3">
      <c r="A41" s="445"/>
      <c r="B41" s="422"/>
      <c r="C41" s="423"/>
      <c r="D41" s="424"/>
      <c r="E41" s="424"/>
      <c r="F41" s="424"/>
      <c r="G41" s="424"/>
      <c r="H41" s="443"/>
      <c r="I41" s="444"/>
      <c r="J41" s="427"/>
      <c r="K41" s="427"/>
      <c r="L41" s="428"/>
      <c r="M41" s="428"/>
      <c r="N41" s="426"/>
    </row>
    <row r="42" spans="1:14" s="348" customFormat="1" ht="23.25" customHeight="1" x14ac:dyDescent="0.25">
      <c r="A42" s="1518" t="s">
        <v>378</v>
      </c>
      <c r="B42" s="393" t="s">
        <v>381</v>
      </c>
      <c r="C42" s="394" t="s">
        <v>13</v>
      </c>
      <c r="D42" s="1499" t="str">
        <f>IF(OR('2-Dati generali-Cond. utilizzo'!C43=1,'2-Dati generali-Cond. utilizzo'!C43=3),"",'2-Dati generali-Cond. utilizzo'!D21)</f>
        <v/>
      </c>
      <c r="E42" s="1499"/>
      <c r="F42" s="1499"/>
      <c r="G42" s="1499"/>
      <c r="H42" s="1515"/>
      <c r="I42" s="417"/>
      <c r="J42" s="1502"/>
      <c r="K42" s="1502"/>
      <c r="L42" s="1502"/>
      <c r="M42" s="347"/>
      <c r="N42" s="396"/>
    </row>
    <row r="43" spans="1:14" s="348" customFormat="1" ht="6" customHeight="1" x14ac:dyDescent="0.25">
      <c r="A43" s="1519"/>
      <c r="B43" s="397"/>
      <c r="C43" s="346"/>
      <c r="D43" s="398"/>
      <c r="E43" s="398"/>
      <c r="F43" s="398"/>
      <c r="G43" s="398"/>
      <c r="H43" s="399"/>
      <c r="I43" s="400"/>
      <c r="J43" s="401"/>
      <c r="K43" s="401"/>
      <c r="L43" s="347"/>
      <c r="M43" s="347"/>
      <c r="N43" s="396"/>
    </row>
    <row r="44" spans="1:14" s="348" customFormat="1" ht="32.1" customHeight="1" x14ac:dyDescent="0.25">
      <c r="A44" s="1519"/>
      <c r="B44" s="431" t="s">
        <v>349</v>
      </c>
      <c r="C44" s="383" t="s">
        <v>13</v>
      </c>
      <c r="D44" s="1516"/>
      <c r="E44" s="1517"/>
      <c r="F44" s="1517"/>
      <c r="G44" s="1517"/>
      <c r="H44" s="1517"/>
      <c r="I44" s="400"/>
      <c r="J44" s="401"/>
      <c r="K44" s="401"/>
      <c r="L44" s="347"/>
      <c r="M44" s="347"/>
      <c r="N44" s="396"/>
    </row>
    <row r="45" spans="1:14" s="348" customFormat="1" ht="6" customHeight="1" x14ac:dyDescent="0.25">
      <c r="A45" s="1519"/>
      <c r="B45" s="397"/>
      <c r="C45" s="346"/>
      <c r="D45" s="398"/>
      <c r="E45" s="398"/>
      <c r="F45" s="398"/>
      <c r="G45" s="398"/>
      <c r="H45" s="399"/>
      <c r="I45" s="400"/>
      <c r="J45" s="401"/>
      <c r="K45" s="401"/>
      <c r="L45" s="347"/>
      <c r="M45" s="347"/>
      <c r="N45" s="396"/>
    </row>
    <row r="46" spans="1:14" s="348" customFormat="1" ht="32.1" customHeight="1" x14ac:dyDescent="0.25">
      <c r="A46" s="1519"/>
      <c r="B46" s="466" t="s">
        <v>375</v>
      </c>
      <c r="C46" s="383" t="s">
        <v>213</v>
      </c>
      <c r="D46" s="1512" t="str">
        <f>IF(OR('2-Dati generali-Cond. utilizzo'!C43=1,'2-Dati generali-Cond. utilizzo'!C43=3),"",('3-Caratteristiche dei sistemi'!I65*'1-Ore funzionamento'!Z80)+('3-Caratteristiche dei sistemi'!I76*'1-Ore funzionamento'!AC91))</f>
        <v/>
      </c>
      <c r="E46" s="1534"/>
      <c r="F46" s="1534"/>
      <c r="G46" s="1534"/>
      <c r="H46" s="1534"/>
      <c r="I46" s="400"/>
      <c r="J46" s="401"/>
      <c r="K46" s="401"/>
      <c r="L46" s="347"/>
      <c r="M46" s="347"/>
      <c r="N46" s="396"/>
    </row>
    <row r="47" spans="1:14" s="348" customFormat="1" ht="6" customHeight="1" x14ac:dyDescent="0.25">
      <c r="A47" s="1519"/>
      <c r="B47" s="397"/>
      <c r="C47" s="346"/>
      <c r="D47" s="398"/>
      <c r="E47" s="398"/>
      <c r="F47" s="398"/>
      <c r="G47" s="398"/>
      <c r="H47" s="399"/>
      <c r="I47" s="400"/>
      <c r="J47" s="401"/>
      <c r="K47" s="401"/>
      <c r="L47" s="347"/>
      <c r="M47" s="347"/>
      <c r="N47" s="396"/>
    </row>
    <row r="48" spans="1:14" s="348" customFormat="1" ht="23.25" x14ac:dyDescent="0.25">
      <c r="A48" s="1519"/>
      <c r="B48" s="1477" t="s">
        <v>376</v>
      </c>
      <c r="C48" s="383" t="s">
        <v>213</v>
      </c>
      <c r="D48" s="1475" t="str">
        <f>IF('2-Dati generali-Cond. utilizzo'!C42&lt;&gt;1,"",IF(OR('2-Dati generali-Cond. utilizzo'!C43=1,'2-Dati generali-Cond. utilizzo'!C43=3),"",((('3-Caratteristiche dei sistemi'!I65*'1-Ore funzionamento'!Z80)+('3-Caratteristiche dei sistemi'!I76*'1-Ore funzionamento'!AC91))-(('3-Caratteristiche dei sistemi'!V65*'1-Ore funzionamento'!Z80)+('3-Caratteristiche dei sistemi'!V76*'1-Ore funzionamento'!AC91)))))</f>
        <v/>
      </c>
      <c r="E48" s="1475"/>
      <c r="F48" s="1475"/>
      <c r="G48" s="1475"/>
      <c r="H48" s="1476"/>
      <c r="I48" s="417"/>
      <c r="J48" s="1502"/>
      <c r="K48" s="1502"/>
      <c r="L48" s="1502"/>
      <c r="M48" s="347"/>
      <c r="N48" s="396"/>
    </row>
    <row r="49" spans="1:14" s="353" customFormat="1" ht="23.25" x14ac:dyDescent="0.2">
      <c r="A49" s="1519"/>
      <c r="B49" s="1478"/>
      <c r="C49" s="383" t="s">
        <v>13</v>
      </c>
      <c r="D49" s="1475" t="str">
        <f>IF('2-Dati generali-Cond. utilizzo'!C42&lt;&gt;1,"",IF(OR('2-Dati generali-Cond. utilizzo'!C43=1,'2-Dati generali-Cond. utilizzo'!C43=3),"",D48*(D42-D44)/100))</f>
        <v/>
      </c>
      <c r="E49" s="1475"/>
      <c r="F49" s="1475"/>
      <c r="G49" s="1475"/>
      <c r="H49" s="1476"/>
      <c r="I49" s="362"/>
      <c r="N49" s="403"/>
    </row>
    <row r="50" spans="1:14" s="353" customFormat="1" ht="6" customHeight="1" x14ac:dyDescent="0.25">
      <c r="A50" s="1519"/>
      <c r="B50" s="355"/>
      <c r="C50" s="358"/>
      <c r="D50" s="406"/>
      <c r="E50" s="406"/>
      <c r="F50" s="406"/>
      <c r="G50" s="406"/>
      <c r="H50" s="407"/>
      <c r="I50" s="362"/>
      <c r="N50" s="403"/>
    </row>
    <row r="51" spans="1:14" s="353" customFormat="1" ht="23.25" customHeight="1" x14ac:dyDescent="0.2">
      <c r="A51" s="1519"/>
      <c r="B51" s="431" t="s">
        <v>361</v>
      </c>
      <c r="C51" s="383" t="s">
        <v>13</v>
      </c>
      <c r="D51" s="1475" t="str">
        <f>IF(OR('2-Dati generali-Cond. utilizzo'!C43=1,'2-Dati generali-Cond. utilizzo'!C43=3),"",'4-Costi sistemi'!C21)</f>
        <v/>
      </c>
      <c r="E51" s="1475"/>
      <c r="F51" s="1475"/>
      <c r="G51" s="1475"/>
      <c r="H51" s="1476"/>
      <c r="I51" s="362"/>
      <c r="N51" s="403"/>
    </row>
    <row r="52" spans="1:14" s="353" customFormat="1" ht="6" customHeight="1" x14ac:dyDescent="0.25">
      <c r="A52" s="1519"/>
      <c r="B52" s="355"/>
      <c r="C52" s="358"/>
      <c r="D52" s="406"/>
      <c r="E52" s="406"/>
      <c r="F52" s="406"/>
      <c r="G52" s="406"/>
      <c r="H52" s="407"/>
      <c r="I52" s="362"/>
      <c r="N52" s="403"/>
    </row>
    <row r="53" spans="1:14" s="353" customFormat="1" ht="47.25" thickBot="1" x14ac:dyDescent="0.25">
      <c r="A53" s="1520"/>
      <c r="B53" s="467" t="s">
        <v>377</v>
      </c>
      <c r="C53" s="446" t="s">
        <v>17</v>
      </c>
      <c r="D53" s="1503" t="str">
        <f>IF(OR('2-Dati generali-Cond. utilizzo'!C43=1,'2-Dati generali-Cond. utilizzo'!C43=3),"",D51/(D46*((D42-D44)/100)))</f>
        <v/>
      </c>
      <c r="E53" s="1504"/>
      <c r="F53" s="1504"/>
      <c r="G53" s="1504"/>
      <c r="H53" s="1505"/>
      <c r="I53" s="408"/>
      <c r="J53" s="409"/>
      <c r="K53" s="409"/>
      <c r="L53" s="409"/>
      <c r="M53" s="409"/>
      <c r="N53" s="410"/>
    </row>
    <row r="54" spans="1:14" s="353" customFormat="1" ht="6" customHeight="1" thickBot="1" x14ac:dyDescent="0.25">
      <c r="C54" s="354"/>
      <c r="D54" s="354"/>
      <c r="E54" s="354"/>
      <c r="F54" s="354"/>
      <c r="G54" s="354"/>
      <c r="H54" s="354"/>
      <c r="I54" s="447"/>
    </row>
    <row r="55" spans="1:14" s="353" customFormat="1" ht="23.25" customHeight="1" x14ac:dyDescent="0.2">
      <c r="A55" s="1538" t="s">
        <v>383</v>
      </c>
      <c r="B55" s="393" t="s">
        <v>384</v>
      </c>
      <c r="C55" s="394" t="s">
        <v>13</v>
      </c>
      <c r="D55" s="1499" t="str">
        <f>IF(OR('2-Dati generali-Cond. utilizzo'!C43=1,'2-Dati generali-Cond. utilizzo'!C43=2),"",'2-Dati generali-Cond. utilizzo'!D21)</f>
        <v/>
      </c>
      <c r="E55" s="1499"/>
      <c r="F55" s="1499"/>
      <c r="G55" s="1499"/>
      <c r="H55" s="1515"/>
      <c r="I55" s="395"/>
      <c r="J55" s="1529"/>
      <c r="K55" s="1529"/>
      <c r="L55" s="1529"/>
      <c r="M55" s="474"/>
      <c r="N55" s="475"/>
    </row>
    <row r="56" spans="1:14" s="353" customFormat="1" ht="6" customHeight="1" x14ac:dyDescent="0.2">
      <c r="A56" s="1539"/>
      <c r="B56" s="397"/>
      <c r="C56" s="346"/>
      <c r="D56" s="398"/>
      <c r="E56" s="398"/>
      <c r="F56" s="398"/>
      <c r="G56" s="398"/>
      <c r="H56" s="399"/>
      <c r="I56" s="400"/>
      <c r="J56" s="401"/>
      <c r="K56" s="401"/>
      <c r="L56" s="347"/>
      <c r="M56" s="347"/>
      <c r="N56" s="396"/>
    </row>
    <row r="57" spans="1:14" s="353" customFormat="1" ht="23.25" x14ac:dyDescent="0.2">
      <c r="A57" s="1539"/>
      <c r="B57" s="431" t="s">
        <v>385</v>
      </c>
      <c r="C57" s="383" t="s">
        <v>13</v>
      </c>
      <c r="D57" s="1516"/>
      <c r="E57" s="1517"/>
      <c r="F57" s="1517"/>
      <c r="G57" s="1517"/>
      <c r="H57" s="1517"/>
      <c r="I57" s="400"/>
      <c r="J57" s="401"/>
      <c r="K57" s="401"/>
      <c r="L57" s="347"/>
      <c r="M57" s="347"/>
      <c r="N57" s="396"/>
    </row>
    <row r="58" spans="1:14" s="353" customFormat="1" ht="15.75" x14ac:dyDescent="0.2">
      <c r="A58" s="1539"/>
      <c r="B58" s="397"/>
      <c r="C58" s="346"/>
      <c r="D58" s="398"/>
      <c r="E58" s="398"/>
      <c r="F58" s="398"/>
      <c r="G58" s="398"/>
      <c r="H58" s="399"/>
      <c r="I58" s="400"/>
      <c r="J58" s="401"/>
      <c r="K58" s="401"/>
      <c r="L58" s="347"/>
      <c r="M58" s="347"/>
      <c r="N58" s="396"/>
    </row>
    <row r="59" spans="1:14" s="353" customFormat="1" ht="23.25" x14ac:dyDescent="0.2">
      <c r="A59" s="1539"/>
      <c r="B59" s="472" t="s">
        <v>386</v>
      </c>
      <c r="C59" s="383" t="s">
        <v>213</v>
      </c>
      <c r="D59" s="1541" t="str">
        <f>IF(OR('2-Dati generali-Cond. utilizzo'!C43=1,'2-Dati generali-Cond. utilizzo'!C43=2),"",('3-Caratteristiche dei sistemi'!I65*'1-Ore funzionamento'!Z80)+('3-Caratteristiche dei sistemi'!I76*'1-Ore funzionamento'!AC91))</f>
        <v/>
      </c>
      <c r="E59" s="1542"/>
      <c r="F59" s="1542"/>
      <c r="G59" s="1542"/>
      <c r="H59" s="1542"/>
      <c r="I59" s="400"/>
      <c r="J59" s="401"/>
      <c r="K59" s="401"/>
      <c r="L59" s="347"/>
      <c r="M59" s="347"/>
      <c r="N59" s="396"/>
    </row>
    <row r="60" spans="1:14" s="353" customFormat="1" ht="15.75" x14ac:dyDescent="0.2">
      <c r="A60" s="1539"/>
      <c r="B60" s="397"/>
      <c r="C60" s="346"/>
      <c r="D60" s="398"/>
      <c r="E60" s="398"/>
      <c r="F60" s="398"/>
      <c r="G60" s="398"/>
      <c r="H60" s="399"/>
      <c r="I60" s="400"/>
      <c r="J60" s="401"/>
      <c r="K60" s="401"/>
      <c r="L60" s="347"/>
      <c r="M60" s="347"/>
      <c r="N60" s="396"/>
    </row>
    <row r="61" spans="1:14" s="353" customFormat="1" ht="23.25" x14ac:dyDescent="0.2">
      <c r="A61" s="1539"/>
      <c r="B61" s="431" t="s">
        <v>387</v>
      </c>
      <c r="C61" s="383" t="s">
        <v>13</v>
      </c>
      <c r="D61" s="1475" t="str">
        <f>IF(OR('2-Dati generali-Cond. utilizzo'!C43=1,'2-Dati generali-Cond. utilizzo'!C43=2),"",'4-Costi sistemi'!C21)</f>
        <v/>
      </c>
      <c r="E61" s="1475"/>
      <c r="F61" s="1475"/>
      <c r="G61" s="1475"/>
      <c r="H61" s="1476"/>
      <c r="I61" s="362"/>
      <c r="N61" s="403"/>
    </row>
    <row r="62" spans="1:14" s="353" customFormat="1" ht="15.75" x14ac:dyDescent="0.25">
      <c r="A62" s="1539"/>
      <c r="B62" s="355"/>
      <c r="C62" s="358"/>
      <c r="D62" s="406"/>
      <c r="E62" s="406"/>
      <c r="F62" s="406"/>
      <c r="G62" s="406"/>
      <c r="H62" s="407"/>
      <c r="I62" s="362"/>
      <c r="N62" s="403"/>
    </row>
    <row r="63" spans="1:14" s="353" customFormat="1" ht="24" thickBot="1" x14ac:dyDescent="0.25">
      <c r="A63" s="1540"/>
      <c r="B63" s="473" t="s">
        <v>388</v>
      </c>
      <c r="C63" s="446" t="s">
        <v>350</v>
      </c>
      <c r="D63" s="1503" t="str">
        <f>IF(OR('2-Dati generali-Cond. utilizzo'!C43=1,'2-Dati generali-Cond. utilizzo'!C43=2),"",D61/(D59*((D55-D57)/100)))</f>
        <v/>
      </c>
      <c r="E63" s="1504"/>
      <c r="F63" s="1504"/>
      <c r="G63" s="1504"/>
      <c r="H63" s="1505"/>
      <c r="I63" s="408"/>
      <c r="J63" s="409"/>
      <c r="K63" s="409"/>
      <c r="L63" s="409"/>
      <c r="M63" s="409"/>
      <c r="N63" s="410"/>
    </row>
    <row r="64" spans="1:14" s="353" customFormat="1" ht="23.25" customHeight="1" x14ac:dyDescent="0.2">
      <c r="C64" s="354"/>
      <c r="D64" s="354"/>
      <c r="E64" s="354"/>
      <c r="F64" s="354"/>
      <c r="G64" s="354"/>
      <c r="H64" s="354"/>
    </row>
    <row r="65" spans="3:8" s="353" customFormat="1" ht="6" customHeight="1" x14ac:dyDescent="0.2">
      <c r="C65" s="354"/>
      <c r="D65" s="354"/>
      <c r="E65" s="354"/>
      <c r="F65" s="354"/>
      <c r="G65" s="354"/>
      <c r="H65" s="354"/>
    </row>
    <row r="66" spans="3:8" s="353" customFormat="1" x14ac:dyDescent="0.2">
      <c r="C66" s="354"/>
      <c r="D66" s="354"/>
      <c r="E66" s="354"/>
      <c r="F66" s="354"/>
      <c r="G66" s="354"/>
      <c r="H66" s="354"/>
    </row>
    <row r="67" spans="3:8" s="353" customFormat="1" x14ac:dyDescent="0.2">
      <c r="C67" s="354"/>
      <c r="D67" s="354"/>
      <c r="E67" s="354"/>
      <c r="F67" s="354"/>
      <c r="G67" s="354"/>
      <c r="H67" s="354"/>
    </row>
    <row r="68" spans="3:8" s="353" customFormat="1" x14ac:dyDescent="0.2">
      <c r="C68" s="354"/>
      <c r="D68" s="354"/>
      <c r="E68" s="354"/>
      <c r="F68" s="354"/>
      <c r="G68" s="354"/>
      <c r="H68" s="354"/>
    </row>
    <row r="69" spans="3:8" s="353" customFormat="1" x14ac:dyDescent="0.2">
      <c r="C69" s="354"/>
      <c r="D69" s="354"/>
      <c r="E69" s="354"/>
      <c r="F69" s="354"/>
      <c r="G69" s="354"/>
      <c r="H69" s="354"/>
    </row>
    <row r="70" spans="3:8" s="353" customFormat="1" x14ac:dyDescent="0.2">
      <c r="C70" s="354"/>
      <c r="D70" s="354"/>
      <c r="E70" s="354"/>
      <c r="F70" s="354"/>
      <c r="G70" s="354"/>
      <c r="H70" s="354"/>
    </row>
    <row r="71" spans="3:8" s="353" customFormat="1" x14ac:dyDescent="0.2">
      <c r="C71" s="354"/>
      <c r="D71" s="354"/>
      <c r="E71" s="354"/>
      <c r="F71" s="354"/>
      <c r="G71" s="354"/>
      <c r="H71" s="354"/>
    </row>
    <row r="72" spans="3:8" s="353" customFormat="1" x14ac:dyDescent="0.2">
      <c r="C72" s="354"/>
      <c r="D72" s="354"/>
      <c r="E72" s="354"/>
      <c r="F72" s="354"/>
      <c r="G72" s="354"/>
      <c r="H72" s="354"/>
    </row>
    <row r="73" spans="3:8" s="353" customFormat="1" x14ac:dyDescent="0.2">
      <c r="C73" s="354"/>
      <c r="D73" s="354"/>
      <c r="E73" s="354"/>
      <c r="F73" s="354"/>
      <c r="G73" s="354"/>
      <c r="H73" s="354"/>
    </row>
    <row r="74" spans="3:8" s="353" customFormat="1" x14ac:dyDescent="0.2">
      <c r="C74" s="354"/>
      <c r="D74" s="354"/>
      <c r="E74" s="354"/>
      <c r="F74" s="354"/>
      <c r="G74" s="354"/>
      <c r="H74" s="354"/>
    </row>
    <row r="75" spans="3:8" s="353" customFormat="1" x14ac:dyDescent="0.2">
      <c r="C75" s="354"/>
      <c r="D75" s="354"/>
      <c r="E75" s="354"/>
      <c r="F75" s="354"/>
      <c r="G75" s="354"/>
      <c r="H75" s="354"/>
    </row>
    <row r="76" spans="3:8" s="353" customFormat="1" x14ac:dyDescent="0.2">
      <c r="C76" s="354"/>
      <c r="D76" s="354"/>
      <c r="E76" s="354"/>
      <c r="F76" s="354"/>
      <c r="G76" s="354"/>
      <c r="H76" s="354"/>
    </row>
    <row r="77" spans="3:8" s="353" customFormat="1" x14ac:dyDescent="0.2">
      <c r="C77" s="354"/>
      <c r="D77" s="354"/>
      <c r="E77" s="354"/>
      <c r="F77" s="354"/>
      <c r="G77" s="354"/>
      <c r="H77" s="354"/>
    </row>
    <row r="78" spans="3:8" s="353" customFormat="1" x14ac:dyDescent="0.2">
      <c r="C78" s="354"/>
      <c r="D78" s="354"/>
      <c r="E78" s="354"/>
      <c r="F78" s="354"/>
      <c r="G78" s="354"/>
      <c r="H78" s="354"/>
    </row>
    <row r="79" spans="3:8" s="353" customFormat="1" x14ac:dyDescent="0.2">
      <c r="C79" s="354"/>
      <c r="D79" s="354"/>
      <c r="E79" s="354"/>
      <c r="F79" s="354"/>
      <c r="G79" s="354"/>
      <c r="H79" s="354"/>
    </row>
    <row r="80" spans="3:8" s="353" customFormat="1" x14ac:dyDescent="0.2">
      <c r="C80" s="354"/>
      <c r="D80" s="354"/>
      <c r="E80" s="354"/>
      <c r="F80" s="354"/>
      <c r="G80" s="354"/>
      <c r="H80" s="354"/>
    </row>
    <row r="81" spans="3:8" s="353" customFormat="1" x14ac:dyDescent="0.2">
      <c r="C81" s="354"/>
      <c r="D81" s="354"/>
      <c r="E81" s="354"/>
      <c r="F81" s="354"/>
      <c r="G81" s="354"/>
      <c r="H81" s="354"/>
    </row>
    <row r="82" spans="3:8" s="353" customFormat="1" x14ac:dyDescent="0.2">
      <c r="C82" s="354"/>
      <c r="D82" s="354"/>
      <c r="E82" s="354"/>
      <c r="F82" s="354"/>
      <c r="G82" s="354"/>
      <c r="H82" s="354"/>
    </row>
    <row r="83" spans="3:8" s="353" customFormat="1" x14ac:dyDescent="0.2">
      <c r="C83" s="354"/>
      <c r="D83" s="354"/>
      <c r="E83" s="354"/>
      <c r="F83" s="354"/>
      <c r="G83" s="354"/>
      <c r="H83" s="354"/>
    </row>
    <row r="84" spans="3:8" s="353" customFormat="1" x14ac:dyDescent="0.2">
      <c r="C84" s="354"/>
      <c r="D84" s="354"/>
      <c r="E84" s="354"/>
      <c r="F84" s="354"/>
      <c r="G84" s="354"/>
      <c r="H84" s="354"/>
    </row>
    <row r="85" spans="3:8" s="353" customFormat="1" x14ac:dyDescent="0.2">
      <c r="C85" s="354"/>
      <c r="D85" s="354"/>
      <c r="E85" s="354"/>
      <c r="F85" s="354"/>
      <c r="G85" s="354"/>
      <c r="H85" s="354"/>
    </row>
    <row r="86" spans="3:8" s="353" customFormat="1" x14ac:dyDescent="0.2">
      <c r="C86" s="354"/>
      <c r="D86" s="354"/>
      <c r="E86" s="354"/>
      <c r="F86" s="354"/>
      <c r="G86" s="354"/>
      <c r="H86" s="354"/>
    </row>
    <row r="87" spans="3:8" s="353" customFormat="1" x14ac:dyDescent="0.2">
      <c r="C87" s="354"/>
      <c r="D87" s="354"/>
      <c r="E87" s="354"/>
      <c r="F87" s="354"/>
      <c r="G87" s="354"/>
      <c r="H87" s="354"/>
    </row>
    <row r="88" spans="3:8" s="353" customFormat="1" x14ac:dyDescent="0.2">
      <c r="C88" s="354"/>
      <c r="D88" s="354"/>
      <c r="E88" s="354"/>
      <c r="F88" s="354"/>
      <c r="G88" s="354"/>
      <c r="H88" s="354"/>
    </row>
    <row r="89" spans="3:8" s="353" customFormat="1" x14ac:dyDescent="0.2">
      <c r="C89" s="354"/>
      <c r="D89" s="354"/>
      <c r="E89" s="354"/>
      <c r="F89" s="354"/>
      <c r="G89" s="354"/>
      <c r="H89" s="354"/>
    </row>
    <row r="90" spans="3:8" s="353" customFormat="1" x14ac:dyDescent="0.2">
      <c r="C90" s="354"/>
      <c r="D90" s="354"/>
      <c r="E90" s="354"/>
      <c r="F90" s="354"/>
      <c r="G90" s="354"/>
      <c r="H90" s="354"/>
    </row>
    <row r="91" spans="3:8" s="353" customFormat="1" x14ac:dyDescent="0.2">
      <c r="C91" s="354"/>
      <c r="D91" s="354"/>
      <c r="E91" s="354"/>
      <c r="F91" s="354"/>
      <c r="G91" s="354"/>
      <c r="H91" s="354"/>
    </row>
    <row r="92" spans="3:8" s="353" customFormat="1" x14ac:dyDescent="0.2">
      <c r="C92" s="354"/>
      <c r="D92" s="354"/>
      <c r="E92" s="354"/>
      <c r="F92" s="354"/>
      <c r="G92" s="354"/>
      <c r="H92" s="354"/>
    </row>
    <row r="93" spans="3:8" s="353" customFormat="1" x14ac:dyDescent="0.2">
      <c r="C93" s="354"/>
      <c r="D93" s="354"/>
      <c r="E93" s="354"/>
      <c r="F93" s="354"/>
      <c r="G93" s="354"/>
      <c r="H93" s="354"/>
    </row>
    <row r="94" spans="3:8" s="353" customFormat="1" x14ac:dyDescent="0.2">
      <c r="C94" s="354"/>
      <c r="D94" s="354"/>
      <c r="E94" s="354"/>
      <c r="F94" s="354"/>
      <c r="G94" s="354"/>
      <c r="H94" s="354"/>
    </row>
    <row r="95" spans="3:8" s="353" customFormat="1" x14ac:dyDescent="0.2">
      <c r="C95" s="354"/>
      <c r="D95" s="354"/>
      <c r="E95" s="354"/>
      <c r="F95" s="354"/>
      <c r="G95" s="354"/>
      <c r="H95" s="354"/>
    </row>
    <row r="96" spans="3:8" s="353" customFormat="1" x14ac:dyDescent="0.2">
      <c r="C96" s="354"/>
      <c r="D96" s="354"/>
      <c r="E96" s="354"/>
      <c r="F96" s="354"/>
      <c r="G96" s="354"/>
      <c r="H96" s="354"/>
    </row>
    <row r="97" spans="3:8" s="353" customFormat="1" x14ac:dyDescent="0.2">
      <c r="C97" s="354"/>
      <c r="D97" s="354"/>
      <c r="E97" s="354"/>
      <c r="F97" s="354"/>
      <c r="G97" s="354"/>
      <c r="H97" s="354"/>
    </row>
    <row r="98" spans="3:8" s="353" customFormat="1" x14ac:dyDescent="0.2">
      <c r="C98" s="354"/>
      <c r="D98" s="354"/>
      <c r="E98" s="354"/>
      <c r="F98" s="354"/>
      <c r="G98" s="354"/>
      <c r="H98" s="354"/>
    </row>
    <row r="99" spans="3:8" s="353" customFormat="1" x14ac:dyDescent="0.2">
      <c r="C99" s="354"/>
      <c r="D99" s="354"/>
      <c r="E99" s="354"/>
      <c r="F99" s="354"/>
      <c r="G99" s="354"/>
      <c r="H99" s="354"/>
    </row>
    <row r="100" spans="3:8" s="353" customFormat="1" x14ac:dyDescent="0.2">
      <c r="C100" s="354"/>
      <c r="D100" s="354"/>
      <c r="E100" s="354"/>
      <c r="F100" s="354"/>
      <c r="G100" s="354"/>
      <c r="H100" s="354"/>
    </row>
    <row r="101" spans="3:8" s="353" customFormat="1" x14ac:dyDescent="0.2">
      <c r="C101" s="354"/>
      <c r="D101" s="354"/>
      <c r="E101" s="354"/>
      <c r="F101" s="354"/>
      <c r="G101" s="354"/>
      <c r="H101" s="354"/>
    </row>
    <row r="102" spans="3:8" s="353" customFormat="1" x14ac:dyDescent="0.2">
      <c r="C102" s="354"/>
      <c r="D102" s="354"/>
      <c r="E102" s="354"/>
      <c r="F102" s="354"/>
      <c r="G102" s="354"/>
      <c r="H102" s="354"/>
    </row>
    <row r="103" spans="3:8" s="353" customFormat="1" x14ac:dyDescent="0.2">
      <c r="C103" s="354"/>
      <c r="D103" s="354"/>
      <c r="E103" s="354"/>
      <c r="F103" s="354"/>
      <c r="G103" s="354"/>
      <c r="H103" s="354"/>
    </row>
    <row r="104" spans="3:8" s="353" customFormat="1" x14ac:dyDescent="0.2">
      <c r="C104" s="354"/>
      <c r="D104" s="354"/>
      <c r="E104" s="354"/>
      <c r="F104" s="354"/>
      <c r="G104" s="354"/>
      <c r="H104" s="354"/>
    </row>
    <row r="105" spans="3:8" s="353" customFormat="1" x14ac:dyDescent="0.2">
      <c r="C105" s="354"/>
      <c r="D105" s="354"/>
      <c r="E105" s="354"/>
      <c r="F105" s="354"/>
      <c r="G105" s="354"/>
      <c r="H105" s="354"/>
    </row>
    <row r="106" spans="3:8" s="353" customFormat="1" x14ac:dyDescent="0.2">
      <c r="C106" s="354"/>
      <c r="D106" s="354"/>
      <c r="E106" s="354"/>
      <c r="F106" s="354"/>
      <c r="G106" s="354"/>
      <c r="H106" s="354"/>
    </row>
    <row r="107" spans="3:8" s="353" customFormat="1" x14ac:dyDescent="0.2">
      <c r="C107" s="354"/>
      <c r="D107" s="354"/>
      <c r="E107" s="354"/>
      <c r="F107" s="354"/>
      <c r="G107" s="354"/>
      <c r="H107" s="354"/>
    </row>
    <row r="108" spans="3:8" s="353" customFormat="1" x14ac:dyDescent="0.2">
      <c r="C108" s="354"/>
      <c r="D108" s="354"/>
      <c r="E108" s="354"/>
      <c r="F108" s="354"/>
      <c r="G108" s="354"/>
      <c r="H108" s="354"/>
    </row>
    <row r="109" spans="3:8" s="353" customFormat="1" x14ac:dyDescent="0.2">
      <c r="C109" s="354"/>
      <c r="D109" s="354"/>
      <c r="E109" s="354"/>
      <c r="F109" s="354"/>
      <c r="G109" s="354"/>
      <c r="H109" s="354"/>
    </row>
    <row r="110" spans="3:8" s="353" customFormat="1" x14ac:dyDescent="0.2">
      <c r="C110" s="354"/>
      <c r="D110" s="354"/>
      <c r="E110" s="354"/>
      <c r="F110" s="354"/>
      <c r="G110" s="354"/>
      <c r="H110" s="354"/>
    </row>
    <row r="111" spans="3:8" s="353" customFormat="1" x14ac:dyDescent="0.2">
      <c r="C111" s="354"/>
      <c r="D111" s="354"/>
      <c r="E111" s="354"/>
      <c r="F111" s="354"/>
      <c r="G111" s="354"/>
      <c r="H111" s="354"/>
    </row>
    <row r="112" spans="3:8" s="353" customFormat="1" x14ac:dyDescent="0.2">
      <c r="C112" s="354"/>
      <c r="D112" s="354"/>
      <c r="E112" s="354"/>
      <c r="F112" s="354"/>
      <c r="G112" s="354"/>
      <c r="H112" s="354"/>
    </row>
    <row r="113" spans="3:8" s="353" customFormat="1" x14ac:dyDescent="0.2">
      <c r="C113" s="354"/>
      <c r="D113" s="354"/>
      <c r="E113" s="354"/>
      <c r="F113" s="354"/>
      <c r="G113" s="354"/>
      <c r="H113" s="354"/>
    </row>
    <row r="114" spans="3:8" s="353" customFormat="1" x14ac:dyDescent="0.2">
      <c r="C114" s="354"/>
      <c r="D114" s="354"/>
      <c r="E114" s="354"/>
      <c r="F114" s="354"/>
      <c r="G114" s="354"/>
      <c r="H114" s="354"/>
    </row>
    <row r="115" spans="3:8" s="353" customFormat="1" x14ac:dyDescent="0.2">
      <c r="C115" s="354"/>
      <c r="D115" s="354"/>
      <c r="E115" s="354"/>
      <c r="F115" s="354"/>
      <c r="G115" s="354"/>
      <c r="H115" s="354"/>
    </row>
    <row r="116" spans="3:8" s="353" customFormat="1" x14ac:dyDescent="0.2">
      <c r="C116" s="354"/>
      <c r="D116" s="354"/>
      <c r="E116" s="354"/>
      <c r="F116" s="354"/>
      <c r="G116" s="354"/>
      <c r="H116" s="354"/>
    </row>
    <row r="117" spans="3:8" s="353" customFormat="1" x14ac:dyDescent="0.2">
      <c r="C117" s="354"/>
      <c r="D117" s="354"/>
      <c r="E117" s="354"/>
      <c r="F117" s="354"/>
      <c r="G117" s="354"/>
      <c r="H117" s="354"/>
    </row>
    <row r="118" spans="3:8" s="353" customFormat="1" x14ac:dyDescent="0.2">
      <c r="C118" s="354"/>
      <c r="D118" s="354"/>
      <c r="E118" s="354"/>
      <c r="F118" s="354"/>
      <c r="G118" s="354"/>
      <c r="H118" s="354"/>
    </row>
    <row r="119" spans="3:8" s="353" customFormat="1" x14ac:dyDescent="0.2">
      <c r="C119" s="354"/>
      <c r="D119" s="354"/>
      <c r="E119" s="354"/>
      <c r="F119" s="354"/>
      <c r="G119" s="354"/>
      <c r="H119" s="354"/>
    </row>
    <row r="120" spans="3:8" s="353" customFormat="1" x14ac:dyDescent="0.2">
      <c r="C120" s="354"/>
      <c r="D120" s="354"/>
      <c r="E120" s="354"/>
      <c r="F120" s="354"/>
      <c r="G120" s="354"/>
      <c r="H120" s="354"/>
    </row>
    <row r="121" spans="3:8" s="353" customFormat="1" x14ac:dyDescent="0.2">
      <c r="C121" s="354"/>
      <c r="D121" s="354"/>
      <c r="E121" s="354"/>
      <c r="F121" s="354"/>
      <c r="G121" s="354"/>
      <c r="H121" s="354"/>
    </row>
    <row r="122" spans="3:8" s="353" customFormat="1" x14ac:dyDescent="0.2">
      <c r="C122" s="354"/>
      <c r="D122" s="354"/>
      <c r="E122" s="354"/>
      <c r="F122" s="354"/>
      <c r="G122" s="354"/>
      <c r="H122" s="354"/>
    </row>
    <row r="123" spans="3:8" s="353" customFormat="1" x14ac:dyDescent="0.2">
      <c r="C123" s="354"/>
      <c r="D123" s="354"/>
      <c r="E123" s="354"/>
      <c r="F123" s="354"/>
      <c r="G123" s="354"/>
      <c r="H123" s="354"/>
    </row>
    <row r="124" spans="3:8" s="353" customFormat="1" x14ac:dyDescent="0.2">
      <c r="C124" s="354"/>
      <c r="D124" s="354"/>
      <c r="E124" s="354"/>
      <c r="F124" s="354"/>
      <c r="G124" s="354"/>
      <c r="H124" s="354"/>
    </row>
    <row r="125" spans="3:8" s="353" customFormat="1" x14ac:dyDescent="0.2">
      <c r="C125" s="354"/>
      <c r="D125" s="354"/>
      <c r="E125" s="354"/>
      <c r="F125" s="354"/>
      <c r="G125" s="354"/>
      <c r="H125" s="354"/>
    </row>
    <row r="126" spans="3:8" s="353" customFormat="1" x14ac:dyDescent="0.2">
      <c r="C126" s="354"/>
      <c r="D126" s="354"/>
      <c r="E126" s="354"/>
      <c r="F126" s="354"/>
      <c r="G126" s="354"/>
      <c r="H126" s="354"/>
    </row>
    <row r="127" spans="3:8" s="353" customFormat="1" x14ac:dyDescent="0.2">
      <c r="C127" s="354"/>
      <c r="D127" s="354"/>
      <c r="E127" s="354"/>
      <c r="F127" s="354"/>
      <c r="G127" s="354"/>
      <c r="H127" s="354"/>
    </row>
    <row r="128" spans="3:8" s="353" customFormat="1" x14ac:dyDescent="0.2">
      <c r="C128" s="354"/>
      <c r="D128" s="354"/>
      <c r="E128" s="354"/>
      <c r="F128" s="354"/>
      <c r="G128" s="354"/>
      <c r="H128" s="354"/>
    </row>
  </sheetData>
  <sheetProtection password="CCA6" sheet="1" objects="1" scenarios="1"/>
  <mergeCells count="57">
    <mergeCell ref="A55:A63"/>
    <mergeCell ref="D55:H55"/>
    <mergeCell ref="D57:H57"/>
    <mergeCell ref="D59:H59"/>
    <mergeCell ref="D61:H61"/>
    <mergeCell ref="D63:H63"/>
    <mergeCell ref="J55:L55"/>
    <mergeCell ref="D27:H27"/>
    <mergeCell ref="A20:A29"/>
    <mergeCell ref="A31:A40"/>
    <mergeCell ref="A42:A53"/>
    <mergeCell ref="B22:B23"/>
    <mergeCell ref="B33:B34"/>
    <mergeCell ref="D33:H33"/>
    <mergeCell ref="D22:H22"/>
    <mergeCell ref="D46:H46"/>
    <mergeCell ref="J29:N29"/>
    <mergeCell ref="D23:H23"/>
    <mergeCell ref="J22:L22"/>
    <mergeCell ref="D36:H36"/>
    <mergeCell ref="D25:H25"/>
    <mergeCell ref="D29:H29"/>
    <mergeCell ref="A4:A18"/>
    <mergeCell ref="B8:B9"/>
    <mergeCell ref="C8:C9"/>
    <mergeCell ref="B11:B12"/>
    <mergeCell ref="C11:C12"/>
    <mergeCell ref="C17:C18"/>
    <mergeCell ref="B14:B15"/>
    <mergeCell ref="B17:B18"/>
    <mergeCell ref="C14:C15"/>
    <mergeCell ref="D53:H53"/>
    <mergeCell ref="D48:H48"/>
    <mergeCell ref="D49:H49"/>
    <mergeCell ref="D20:H20"/>
    <mergeCell ref="D11:H12"/>
    <mergeCell ref="D17:H18"/>
    <mergeCell ref="D31:H31"/>
    <mergeCell ref="D34:H34"/>
    <mergeCell ref="D40:H40"/>
    <mergeCell ref="D42:H42"/>
    <mergeCell ref="D44:H44"/>
    <mergeCell ref="D38:H38"/>
    <mergeCell ref="D8:H9"/>
    <mergeCell ref="D14:H15"/>
    <mergeCell ref="D1:N1"/>
    <mergeCell ref="D51:H51"/>
    <mergeCell ref="B48:B49"/>
    <mergeCell ref="J11:N12"/>
    <mergeCell ref="J14:N15"/>
    <mergeCell ref="J17:N18"/>
    <mergeCell ref="D2:H2"/>
    <mergeCell ref="J2:N2"/>
    <mergeCell ref="D6:H6"/>
    <mergeCell ref="D4:H4"/>
    <mergeCell ref="J48:L48"/>
    <mergeCell ref="J42:L42"/>
  </mergeCells>
  <phoneticPr fontId="7" type="noConversion"/>
  <pageMargins left="0.75" right="0.75" top="1" bottom="0.74" header="0.5" footer="0.5"/>
  <pageSetup paperSize="9" scale="55" orientation="landscape" horizontalDpi="0" verticalDpi="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H74"/>
  <sheetViews>
    <sheetView zoomScale="75" workbookViewId="0">
      <selection activeCell="K43" sqref="K43"/>
    </sheetView>
  </sheetViews>
  <sheetFormatPr defaultRowHeight="15.75" x14ac:dyDescent="0.25"/>
  <cols>
    <col min="1" max="1" width="69.375" style="171" customWidth="1"/>
    <col min="2" max="2" width="4.625" style="171" customWidth="1"/>
    <col min="3" max="3" width="23.5" style="172" bestFit="1" customWidth="1"/>
    <col min="4" max="4" width="24.75" style="173" bestFit="1" customWidth="1"/>
    <col min="5" max="6" width="24.75" style="171" customWidth="1"/>
    <col min="7" max="7" width="26.5" style="174" bestFit="1" customWidth="1"/>
    <col min="8" max="16384" width="9" style="171"/>
  </cols>
  <sheetData>
    <row r="1" spans="1:8" ht="23.25" customHeight="1" x14ac:dyDescent="0.25"/>
    <row r="2" spans="1:8" ht="23.25" x14ac:dyDescent="0.35">
      <c r="A2" s="1547" t="s">
        <v>207</v>
      </c>
      <c r="B2" s="1547"/>
      <c r="C2" s="1547"/>
      <c r="D2" s="1547"/>
      <c r="E2" s="1547"/>
      <c r="F2" s="1547"/>
      <c r="G2" s="1547"/>
      <c r="H2" s="1547"/>
    </row>
    <row r="3" spans="1:8" ht="23.25" x14ac:dyDescent="0.35">
      <c r="A3" s="170"/>
      <c r="B3" s="170"/>
      <c r="C3" s="170"/>
      <c r="D3" s="170"/>
      <c r="E3" s="170"/>
      <c r="F3" s="170"/>
      <c r="G3" s="170"/>
      <c r="H3" s="170"/>
    </row>
    <row r="4" spans="1:8" ht="24" customHeight="1" x14ac:dyDescent="0.35">
      <c r="A4" s="175" t="s">
        <v>181</v>
      </c>
      <c r="B4" s="175"/>
      <c r="C4" s="176" t="s">
        <v>72</v>
      </c>
      <c r="D4" s="176"/>
      <c r="E4" s="177"/>
      <c r="F4" s="177"/>
      <c r="G4" s="178">
        <f>'1-Ore funzionamento'!Z80</f>
        <v>0</v>
      </c>
    </row>
    <row r="5" spans="1:8" ht="6" customHeight="1" x14ac:dyDescent="0.35">
      <c r="A5" s="179"/>
      <c r="B5" s="179"/>
      <c r="C5" s="180"/>
      <c r="D5" s="181"/>
      <c r="E5" s="182"/>
      <c r="F5" s="182"/>
      <c r="G5" s="183"/>
    </row>
    <row r="6" spans="1:8" ht="24" customHeight="1" x14ac:dyDescent="0.35">
      <c r="A6" s="175" t="s">
        <v>182</v>
      </c>
      <c r="B6" s="175"/>
      <c r="C6" s="176" t="s">
        <v>72</v>
      </c>
      <c r="D6" s="176"/>
      <c r="E6" s="177"/>
      <c r="F6" s="177"/>
      <c r="G6" s="178">
        <f>'1-Ore funzionamento'!AC91</f>
        <v>0</v>
      </c>
    </row>
    <row r="7" spans="1:8" ht="6" customHeight="1" x14ac:dyDescent="0.35">
      <c r="A7" s="179"/>
      <c r="B7" s="179"/>
      <c r="C7" s="180"/>
      <c r="D7" s="181"/>
      <c r="E7" s="182"/>
      <c r="F7" s="182"/>
      <c r="G7" s="183"/>
    </row>
    <row r="8" spans="1:8" ht="24" customHeight="1" x14ac:dyDescent="0.35">
      <c r="A8" s="175" t="s">
        <v>183</v>
      </c>
      <c r="B8" s="175"/>
      <c r="C8" s="184" t="str">
        <f>'2-Dati generali-Cond. utilizzo'!C23</f>
        <v>cent € / kWh</v>
      </c>
      <c r="D8" s="176"/>
      <c r="E8" s="185"/>
      <c r="F8" s="185"/>
      <c r="G8" s="186">
        <f>AVERAGE('2-Dati generali-Cond. utilizzo'!D23,'2-Dati generali-Cond. utilizzo'!D24)</f>
        <v>0</v>
      </c>
    </row>
    <row r="9" spans="1:8" ht="6" customHeight="1" x14ac:dyDescent="0.35">
      <c r="A9" s="179"/>
      <c r="B9" s="179"/>
      <c r="C9" s="187"/>
      <c r="D9" s="181"/>
      <c r="E9" s="188"/>
      <c r="F9" s="188"/>
      <c r="G9" s="189"/>
    </row>
    <row r="10" spans="1:8" ht="24" customHeight="1" x14ac:dyDescent="0.35">
      <c r="A10" s="175" t="s">
        <v>0</v>
      </c>
      <c r="B10" s="175"/>
      <c r="C10" s="176" t="str">
        <f>'2-Dati generali-Cond. utilizzo'!C21</f>
        <v>cent € / m3</v>
      </c>
      <c r="D10" s="176"/>
      <c r="E10" s="185"/>
      <c r="F10" s="185"/>
      <c r="G10" s="186">
        <f>'2-Dati generali-Cond. utilizzo'!D21</f>
        <v>0</v>
      </c>
    </row>
    <row r="11" spans="1:8" ht="6" customHeight="1" x14ac:dyDescent="0.35">
      <c r="A11" s="179"/>
      <c r="B11" s="179"/>
      <c r="C11" s="180"/>
      <c r="D11" s="181"/>
      <c r="E11" s="188"/>
      <c r="F11" s="188"/>
      <c r="G11" s="189"/>
    </row>
    <row r="12" spans="1:8" ht="24" customHeight="1" x14ac:dyDescent="0.35">
      <c r="A12" s="190" t="s">
        <v>16</v>
      </c>
      <c r="B12" s="175"/>
      <c r="C12" s="176" t="s">
        <v>13</v>
      </c>
      <c r="D12" s="191"/>
      <c r="E12" s="191"/>
      <c r="F12" s="191"/>
      <c r="G12" s="192">
        <f>'4-Costi sistemi'!G25:I25</f>
        <v>0</v>
      </c>
    </row>
    <row r="13" spans="1:8" ht="6" customHeight="1" x14ac:dyDescent="0.35">
      <c r="A13" s="193"/>
      <c r="B13" s="179"/>
      <c r="C13" s="180"/>
      <c r="D13" s="194"/>
      <c r="E13" s="194"/>
      <c r="F13" s="194"/>
      <c r="G13" s="195"/>
    </row>
    <row r="14" spans="1:8" ht="24" customHeight="1" x14ac:dyDescent="0.35">
      <c r="A14" s="190" t="s">
        <v>25</v>
      </c>
      <c r="B14" s="175"/>
      <c r="C14" s="176" t="s">
        <v>13</v>
      </c>
      <c r="D14" s="191"/>
      <c r="E14" s="191"/>
      <c r="F14" s="191"/>
      <c r="G14" s="192">
        <f>'4-Costi sistemi'!G27:I27</f>
        <v>0</v>
      </c>
    </row>
    <row r="15" spans="1:8" ht="6" customHeight="1" x14ac:dyDescent="0.35">
      <c r="A15" s="193"/>
      <c r="B15" s="179"/>
      <c r="C15" s="180"/>
      <c r="D15" s="194"/>
      <c r="E15" s="194"/>
      <c r="F15" s="194"/>
      <c r="G15" s="195"/>
    </row>
    <row r="16" spans="1:8" ht="24" customHeight="1" x14ac:dyDescent="0.35">
      <c r="A16" s="175" t="s">
        <v>178</v>
      </c>
      <c r="B16" s="175"/>
      <c r="C16" s="176"/>
      <c r="D16" s="176"/>
      <c r="E16" s="185"/>
      <c r="F16" s="185"/>
      <c r="G16" s="186" t="str">
        <f>INDEX('Dati x formule'!G4:G8,'2-Dati generali-Cond. utilizzo'!C42)</f>
        <v>ESPANSIONE DIRETTA</v>
      </c>
    </row>
    <row r="17" spans="1:7" ht="6" customHeight="1" x14ac:dyDescent="0.35">
      <c r="A17" s="179"/>
      <c r="B17" s="179"/>
      <c r="C17" s="180"/>
      <c r="D17" s="181"/>
      <c r="E17" s="188"/>
      <c r="F17" s="188"/>
      <c r="G17" s="189"/>
    </row>
    <row r="18" spans="1:7" ht="24" customHeight="1" x14ac:dyDescent="0.35">
      <c r="A18" s="175" t="s">
        <v>179</v>
      </c>
      <c r="B18" s="175"/>
      <c r="C18" s="176"/>
      <c r="D18" s="176" t="str">
        <f>IF('3-Caratteristiche dei sistemi'!C80&gt;12,"",INDEX('Dati x formule'!$A15:$A27,'3-Caratteristiche dei sistemi'!C80))</f>
        <v/>
      </c>
      <c r="E18" s="176" t="str">
        <f>IF('3-Caratteristiche dei sistemi'!D80&gt;12,"",INDEX('Dati x formule'!$A15:$A27,'3-Caratteristiche dei sistemi'!D80))</f>
        <v/>
      </c>
      <c r="F18" s="176" t="str">
        <f>IF('3-Caratteristiche dei sistemi'!E80&gt;12,"",INDEX('Dati x formule'!$A15:$A27,'3-Caratteristiche dei sistemi'!E80))</f>
        <v/>
      </c>
      <c r="G18" s="186"/>
    </row>
    <row r="19" spans="1:7" ht="6" customHeight="1" x14ac:dyDescent="0.35">
      <c r="A19" s="179"/>
      <c r="B19" s="179"/>
      <c r="C19" s="180"/>
      <c r="D19" s="181"/>
      <c r="E19" s="181"/>
      <c r="F19" s="181"/>
      <c r="G19" s="189"/>
    </row>
    <row r="20" spans="1:7" ht="24" customHeight="1" x14ac:dyDescent="0.35">
      <c r="A20" s="175" t="s">
        <v>180</v>
      </c>
      <c r="B20" s="175"/>
      <c r="C20" s="176"/>
      <c r="D20" s="196" t="str">
        <f>IF('3-Caratteristiche dei sistemi'!E10=0,"",'3-Caratteristiche dei sistemi'!E10)</f>
        <v/>
      </c>
      <c r="E20" s="196" t="str">
        <f>IF('3-Caratteristiche dei sistemi'!F10=0,"",'3-Caratteristiche dei sistemi'!F10)</f>
        <v/>
      </c>
      <c r="F20" s="196" t="str">
        <f>IF('3-Caratteristiche dei sistemi'!G10=0,"",'3-Caratteristiche dei sistemi'!G10)</f>
        <v/>
      </c>
      <c r="G20" s="178">
        <f>SUM(D20:F20)</f>
        <v>0</v>
      </c>
    </row>
    <row r="21" spans="1:7" ht="6" customHeight="1" x14ac:dyDescent="0.35">
      <c r="A21" s="179"/>
      <c r="B21" s="179"/>
      <c r="C21" s="180"/>
      <c r="D21" s="197"/>
      <c r="E21" s="197"/>
      <c r="F21" s="197"/>
      <c r="G21" s="183"/>
    </row>
    <row r="22" spans="1:7" ht="24" customHeight="1" x14ac:dyDescent="0.35">
      <c r="A22" s="175" t="s">
        <v>188</v>
      </c>
      <c r="B22" s="175"/>
      <c r="C22" s="176"/>
      <c r="D22" s="198">
        <f>'3-Caratteristiche dei sistemi'!E40</f>
        <v>0</v>
      </c>
      <c r="E22" s="198">
        <f>'3-Caratteristiche dei sistemi'!F40</f>
        <v>0</v>
      </c>
      <c r="F22" s="198">
        <f>'3-Caratteristiche dei sistemi'!G40</f>
        <v>0</v>
      </c>
      <c r="G22" s="199">
        <f>SUM(D22:F22)</f>
        <v>0</v>
      </c>
    </row>
    <row r="23" spans="1:7" ht="6" customHeight="1" x14ac:dyDescent="0.35">
      <c r="A23" s="179"/>
      <c r="B23" s="179"/>
      <c r="C23" s="180"/>
      <c r="D23" s="200"/>
      <c r="E23" s="200"/>
      <c r="F23" s="200"/>
      <c r="G23" s="201"/>
    </row>
    <row r="24" spans="1:7" ht="24" customHeight="1" x14ac:dyDescent="0.3">
      <c r="A24" s="1543" t="s">
        <v>191</v>
      </c>
      <c r="B24" s="1544"/>
      <c r="C24" s="1544"/>
      <c r="D24" s="1544"/>
      <c r="E24" s="1544"/>
      <c r="F24" s="1544"/>
      <c r="G24" s="1545"/>
    </row>
    <row r="25" spans="1:7" ht="6" customHeight="1" x14ac:dyDescent="0.35">
      <c r="A25" s="202"/>
      <c r="B25" s="179"/>
      <c r="C25" s="180"/>
      <c r="D25" s="200"/>
      <c r="E25" s="200"/>
      <c r="F25" s="200"/>
      <c r="G25" s="201"/>
    </row>
    <row r="26" spans="1:7" ht="24" customHeight="1" x14ac:dyDescent="0.35">
      <c r="A26" s="175" t="s">
        <v>184</v>
      </c>
      <c r="B26" s="175"/>
      <c r="C26" s="176" t="s">
        <v>6</v>
      </c>
      <c r="D26" s="203" t="str">
        <f>IF('3-Caratteristiche dei sistemi'!E14=0,"",'3-Caratteristiche dei sistemi'!E14)</f>
        <v/>
      </c>
      <c r="E26" s="203" t="str">
        <f>IF('3-Caratteristiche dei sistemi'!F14=0,"",'3-Caratteristiche dei sistemi'!F14)</f>
        <v/>
      </c>
      <c r="F26" s="203" t="str">
        <f>IF('3-Caratteristiche dei sistemi'!G14=0,"",'3-Caratteristiche dei sistemi'!G14)</f>
        <v/>
      </c>
      <c r="G26" s="204">
        <f t="shared" ref="G26:G39" si="0">SUM(D26:F26)</f>
        <v>0</v>
      </c>
    </row>
    <row r="27" spans="1:7" ht="6" customHeight="1" x14ac:dyDescent="0.35">
      <c r="A27" s="179"/>
      <c r="B27" s="179"/>
      <c r="C27" s="180"/>
      <c r="D27" s="205"/>
      <c r="E27" s="205"/>
      <c r="F27" s="205"/>
      <c r="G27" s="206"/>
    </row>
    <row r="28" spans="1:7" ht="24" customHeight="1" x14ac:dyDescent="0.35">
      <c r="A28" s="1546" t="s">
        <v>187</v>
      </c>
      <c r="B28" s="212"/>
      <c r="C28" s="176" t="s">
        <v>206</v>
      </c>
      <c r="D28" s="203" t="e">
        <f>'3-Caratteristiche dei sistemi'!E22*$G$4</f>
        <v>#VALUE!</v>
      </c>
      <c r="E28" s="203" t="e">
        <f>'3-Caratteristiche dei sistemi'!F22*$G$4</f>
        <v>#VALUE!</v>
      </c>
      <c r="F28" s="203" t="e">
        <f>'3-Caratteristiche dei sistemi'!G22*$G$4</f>
        <v>#VALUE!</v>
      </c>
      <c r="G28" s="204" t="e">
        <f t="shared" si="0"/>
        <v>#VALUE!</v>
      </c>
    </row>
    <row r="29" spans="1:7" ht="24" customHeight="1" x14ac:dyDescent="0.35">
      <c r="A29" s="1546"/>
      <c r="B29" s="213"/>
      <c r="C29" s="176" t="s">
        <v>205</v>
      </c>
      <c r="D29" s="203" t="e">
        <f>'3-Caratteristiche dei sistemi'!E25*$G$4</f>
        <v>#VALUE!</v>
      </c>
      <c r="E29" s="203" t="e">
        <f>'3-Caratteristiche dei sistemi'!F25*$G$4</f>
        <v>#VALUE!</v>
      </c>
      <c r="F29" s="203" t="e">
        <f>'3-Caratteristiche dei sistemi'!G25*$G$4</f>
        <v>#VALUE!</v>
      </c>
      <c r="G29" s="204" t="e">
        <f t="shared" si="0"/>
        <v>#VALUE!</v>
      </c>
    </row>
    <row r="30" spans="1:7" ht="6" customHeight="1" x14ac:dyDescent="0.35">
      <c r="A30" s="193"/>
      <c r="B30" s="179"/>
      <c r="C30" s="180"/>
      <c r="D30" s="205"/>
      <c r="E30" s="205"/>
      <c r="F30" s="205"/>
      <c r="G30" s="206"/>
    </row>
    <row r="31" spans="1:7" ht="24" customHeight="1" x14ac:dyDescent="0.35">
      <c r="A31" s="175" t="s">
        <v>195</v>
      </c>
      <c r="B31" s="175"/>
      <c r="C31" s="176" t="str">
        <f>'3-Caratteristiche dei sistemi'!C65</f>
        <v>m3/h</v>
      </c>
      <c r="D31" s="196">
        <f>'3-Caratteristiche dei sistemi'!E65*'5-Costi di funziona.- pay back'!$C37</f>
        <v>0</v>
      </c>
      <c r="E31" s="196">
        <f>'3-Caratteristiche dei sistemi'!F65*'5-Costi di funziona.- pay back'!$C37</f>
        <v>0</v>
      </c>
      <c r="F31" s="196">
        <f>'3-Caratteristiche dei sistemi'!G65*'5-Costi di funziona.- pay back'!$C37</f>
        <v>0</v>
      </c>
      <c r="G31" s="178">
        <f t="shared" si="0"/>
        <v>0</v>
      </c>
    </row>
    <row r="32" spans="1:7" ht="6" customHeight="1" x14ac:dyDescent="0.35">
      <c r="A32" s="179"/>
      <c r="B32" s="179"/>
      <c r="C32" s="180"/>
      <c r="D32" s="197"/>
      <c r="E32" s="197"/>
      <c r="F32" s="197"/>
      <c r="G32" s="183"/>
    </row>
    <row r="33" spans="1:7" ht="24" customHeight="1" x14ac:dyDescent="0.35">
      <c r="A33" s="175" t="s">
        <v>203</v>
      </c>
      <c r="B33" s="175"/>
      <c r="C33" s="176" t="s">
        <v>13</v>
      </c>
      <c r="D33" s="191">
        <f>D31*$G$10/100</f>
        <v>0</v>
      </c>
      <c r="E33" s="191">
        <f>E31*$G$10/100</f>
        <v>0</v>
      </c>
      <c r="F33" s="191">
        <f>F31*$G$10/100</f>
        <v>0</v>
      </c>
      <c r="G33" s="192">
        <f t="shared" si="0"/>
        <v>0</v>
      </c>
    </row>
    <row r="34" spans="1:7" ht="6" customHeight="1" x14ac:dyDescent="0.35">
      <c r="A34" s="179"/>
      <c r="B34" s="179"/>
      <c r="C34" s="180"/>
      <c r="D34" s="194"/>
      <c r="E34" s="194"/>
      <c r="F34" s="194"/>
      <c r="G34" s="195"/>
    </row>
    <row r="35" spans="1:7" ht="24" customHeight="1" x14ac:dyDescent="0.35">
      <c r="A35" s="175" t="s">
        <v>196</v>
      </c>
      <c r="B35" s="175"/>
      <c r="C35" s="176" t="str">
        <f>'3-Caratteristiche dei sistemi'!C40</f>
        <v>kWh</v>
      </c>
      <c r="D35" s="196">
        <f>'3-Caratteristiche dei sistemi'!E40*'5-Costi di funziona.- pay back'!$C26</f>
        <v>0</v>
      </c>
      <c r="E35" s="196">
        <f>'3-Caratteristiche dei sistemi'!F40*'5-Costi di funziona.- pay back'!$C26</f>
        <v>0</v>
      </c>
      <c r="F35" s="196">
        <f>'3-Caratteristiche dei sistemi'!G40*'5-Costi di funziona.- pay back'!$C26</f>
        <v>0</v>
      </c>
      <c r="G35" s="178">
        <f t="shared" si="0"/>
        <v>0</v>
      </c>
    </row>
    <row r="36" spans="1:7" ht="6" customHeight="1" x14ac:dyDescent="0.35">
      <c r="A36" s="179"/>
      <c r="B36" s="179"/>
      <c r="C36" s="180"/>
      <c r="D36" s="197"/>
      <c r="E36" s="197"/>
      <c r="F36" s="197"/>
      <c r="G36" s="183"/>
    </row>
    <row r="37" spans="1:7" ht="24" customHeight="1" x14ac:dyDescent="0.35">
      <c r="A37" s="175" t="s">
        <v>204</v>
      </c>
      <c r="B37" s="175"/>
      <c r="C37" s="176" t="s">
        <v>13</v>
      </c>
      <c r="D37" s="191">
        <f>D35*$G$8/100</f>
        <v>0</v>
      </c>
      <c r="E37" s="191">
        <f>E35*$G$8/100</f>
        <v>0</v>
      </c>
      <c r="F37" s="191">
        <f>F35*$G$8/100</f>
        <v>0</v>
      </c>
      <c r="G37" s="192">
        <f t="shared" si="0"/>
        <v>0</v>
      </c>
    </row>
    <row r="38" spans="1:7" ht="6" customHeight="1" x14ac:dyDescent="0.35">
      <c r="A38" s="179"/>
      <c r="B38" s="179"/>
      <c r="C38" s="180"/>
      <c r="D38" s="194"/>
      <c r="E38" s="194"/>
      <c r="F38" s="194"/>
      <c r="G38" s="195"/>
    </row>
    <row r="39" spans="1:7" s="207" customFormat="1" ht="24" customHeight="1" x14ac:dyDescent="0.3">
      <c r="A39" s="214" t="s">
        <v>192</v>
      </c>
      <c r="B39" s="214"/>
      <c r="C39" s="215" t="s">
        <v>13</v>
      </c>
      <c r="D39" s="216">
        <f>SUM(D37,D33)</f>
        <v>0</v>
      </c>
      <c r="E39" s="216">
        <f>SUM(E37,E33)</f>
        <v>0</v>
      </c>
      <c r="F39" s="216">
        <f>SUM(F37,F33)</f>
        <v>0</v>
      </c>
      <c r="G39" s="216">
        <f t="shared" si="0"/>
        <v>0</v>
      </c>
    </row>
    <row r="40" spans="1:7" s="207" customFormat="1" ht="6" customHeight="1" x14ac:dyDescent="0.3">
      <c r="A40" s="202"/>
      <c r="B40" s="202"/>
      <c r="C40" s="208"/>
      <c r="D40" s="195"/>
      <c r="E40" s="195"/>
      <c r="F40" s="195"/>
      <c r="G40" s="195"/>
    </row>
    <row r="41" spans="1:7" s="207" customFormat="1" ht="24" customHeight="1" x14ac:dyDescent="0.3">
      <c r="A41" s="1543" t="s">
        <v>193</v>
      </c>
      <c r="B41" s="1544"/>
      <c r="C41" s="1544"/>
      <c r="D41" s="1544"/>
      <c r="E41" s="1544"/>
      <c r="F41" s="1544"/>
      <c r="G41" s="1545"/>
    </row>
    <row r="42" spans="1:7" s="207" customFormat="1" ht="6" customHeight="1" x14ac:dyDescent="0.3">
      <c r="A42" s="202"/>
      <c r="B42" s="202"/>
      <c r="C42" s="208"/>
      <c r="D42" s="195"/>
      <c r="E42" s="195"/>
      <c r="F42" s="195"/>
      <c r="G42" s="195"/>
    </row>
    <row r="43" spans="1:7" ht="24" customHeight="1" x14ac:dyDescent="0.35">
      <c r="A43" s="175" t="s">
        <v>185</v>
      </c>
      <c r="B43" s="175"/>
      <c r="C43" s="176" t="s">
        <v>6</v>
      </c>
      <c r="D43" s="203" t="str">
        <f>IF('3-Caratteristiche dei sistemi'!E16=0,"",'3-Caratteristiche dei sistemi'!E16)</f>
        <v/>
      </c>
      <c r="E43" s="203" t="str">
        <f>IF('3-Caratteristiche dei sistemi'!F16=0,"",'3-Caratteristiche dei sistemi'!F16)</f>
        <v/>
      </c>
      <c r="F43" s="203" t="str">
        <f>IF('3-Caratteristiche dei sistemi'!G16=0,"",'3-Caratteristiche dei sistemi'!G16)</f>
        <v/>
      </c>
      <c r="G43" s="204">
        <f t="shared" ref="G43:G55" si="1">SUM(D43:F43)</f>
        <v>0</v>
      </c>
    </row>
    <row r="44" spans="1:7" ht="6" customHeight="1" x14ac:dyDescent="0.35">
      <c r="A44" s="179"/>
      <c r="B44" s="179"/>
      <c r="C44" s="180"/>
      <c r="D44" s="205"/>
      <c r="E44" s="205"/>
      <c r="F44" s="205"/>
      <c r="G44" s="206"/>
    </row>
    <row r="45" spans="1:7" ht="24" customHeight="1" x14ac:dyDescent="0.35">
      <c r="A45" s="175" t="s">
        <v>186</v>
      </c>
      <c r="B45" s="175"/>
      <c r="C45" s="176" t="s">
        <v>6</v>
      </c>
      <c r="D45" s="203" t="str">
        <f>IF('3-Caratteristiche dei sistemi'!E18=0,"",'3-Caratteristiche dei sistemi'!E18)</f>
        <v/>
      </c>
      <c r="E45" s="203" t="str">
        <f>IF('3-Caratteristiche dei sistemi'!F18=0,"",'3-Caratteristiche dei sistemi'!F18)</f>
        <v/>
      </c>
      <c r="F45" s="203" t="str">
        <f>IF('3-Caratteristiche dei sistemi'!G18=0,"",'3-Caratteristiche dei sistemi'!G18)</f>
        <v/>
      </c>
      <c r="G45" s="204">
        <f t="shared" si="1"/>
        <v>0</v>
      </c>
    </row>
    <row r="46" spans="1:7" ht="6" customHeight="1" x14ac:dyDescent="0.35">
      <c r="A46" s="179"/>
      <c r="B46" s="179"/>
      <c r="C46" s="180"/>
      <c r="D46" s="205"/>
      <c r="E46" s="205"/>
      <c r="F46" s="205"/>
      <c r="G46" s="206"/>
    </row>
    <row r="47" spans="1:7" ht="24" customHeight="1" x14ac:dyDescent="0.35">
      <c r="A47" s="175" t="s">
        <v>194</v>
      </c>
      <c r="B47" s="175"/>
      <c r="C47" s="176" t="str">
        <f>C31</f>
        <v>m3/h</v>
      </c>
      <c r="D47" s="196">
        <f>'3-Caratteristiche dei sistemi'!E76*'5-Costi di funziona.- pay back'!$D37</f>
        <v>0</v>
      </c>
      <c r="E47" s="196">
        <f>'3-Caratteristiche dei sistemi'!F76*'5-Costi di funziona.- pay back'!$D37</f>
        <v>0</v>
      </c>
      <c r="F47" s="196">
        <f>'3-Caratteristiche dei sistemi'!G76*'5-Costi di funziona.- pay back'!$D37</f>
        <v>0</v>
      </c>
      <c r="G47" s="178">
        <f t="shared" si="1"/>
        <v>0</v>
      </c>
    </row>
    <row r="48" spans="1:7" ht="6" customHeight="1" x14ac:dyDescent="0.35">
      <c r="A48" s="179"/>
      <c r="B48" s="179"/>
      <c r="C48" s="180"/>
      <c r="D48" s="197"/>
      <c r="E48" s="197"/>
      <c r="F48" s="197"/>
      <c r="G48" s="183"/>
    </row>
    <row r="49" spans="1:7" ht="24" customHeight="1" x14ac:dyDescent="0.35">
      <c r="A49" s="175" t="s">
        <v>200</v>
      </c>
      <c r="B49" s="175"/>
      <c r="C49" s="176" t="s">
        <v>13</v>
      </c>
      <c r="D49" s="191">
        <f>D47*$G$10/100</f>
        <v>0</v>
      </c>
      <c r="E49" s="191">
        <f>E47*$G$10/100</f>
        <v>0</v>
      </c>
      <c r="F49" s="191">
        <f>F47*$G$10/100</f>
        <v>0</v>
      </c>
      <c r="G49" s="192">
        <f t="shared" si="1"/>
        <v>0</v>
      </c>
    </row>
    <row r="50" spans="1:7" ht="6" customHeight="1" x14ac:dyDescent="0.35">
      <c r="A50" s="179"/>
      <c r="B50" s="179"/>
      <c r="C50" s="180"/>
      <c r="D50" s="194"/>
      <c r="E50" s="194"/>
      <c r="F50" s="194"/>
      <c r="G50" s="195"/>
    </row>
    <row r="51" spans="1:7" ht="24" customHeight="1" x14ac:dyDescent="0.35">
      <c r="A51" s="175" t="s">
        <v>197</v>
      </c>
      <c r="B51" s="175"/>
      <c r="C51" s="176" t="str">
        <f>C35</f>
        <v>kWh</v>
      </c>
      <c r="D51" s="196">
        <f>'3-Caratteristiche dei sistemi'!E51*'5-Costi di funziona.- pay back'!$D26</f>
        <v>0</v>
      </c>
      <c r="E51" s="196">
        <f>'3-Caratteristiche dei sistemi'!F51*'5-Costi di funziona.- pay back'!$D26</f>
        <v>0</v>
      </c>
      <c r="F51" s="196">
        <f>'3-Caratteristiche dei sistemi'!G51*'5-Costi di funziona.- pay back'!$D26</f>
        <v>0</v>
      </c>
      <c r="G51" s="178">
        <f t="shared" si="1"/>
        <v>0</v>
      </c>
    </row>
    <row r="52" spans="1:7" ht="6" customHeight="1" x14ac:dyDescent="0.35">
      <c r="A52" s="179"/>
      <c r="B52" s="179"/>
      <c r="C52" s="180"/>
      <c r="D52" s="197"/>
      <c r="E52" s="197"/>
      <c r="F52" s="197"/>
      <c r="G52" s="183"/>
    </row>
    <row r="53" spans="1:7" ht="24" customHeight="1" x14ac:dyDescent="0.35">
      <c r="A53" s="175" t="s">
        <v>201</v>
      </c>
      <c r="B53" s="175"/>
      <c r="C53" s="176" t="s">
        <v>13</v>
      </c>
      <c r="D53" s="191">
        <f>D51*$G$8/100</f>
        <v>0</v>
      </c>
      <c r="E53" s="191">
        <f>E51*$G$8/100</f>
        <v>0</v>
      </c>
      <c r="F53" s="191">
        <f>F51*$G$8/100</f>
        <v>0</v>
      </c>
      <c r="G53" s="192">
        <f t="shared" si="1"/>
        <v>0</v>
      </c>
    </row>
    <row r="54" spans="1:7" ht="6" customHeight="1" x14ac:dyDescent="0.35">
      <c r="A54" s="179"/>
      <c r="B54" s="179"/>
      <c r="C54" s="180"/>
      <c r="D54" s="194"/>
      <c r="E54" s="194"/>
      <c r="F54" s="194"/>
      <c r="G54" s="195"/>
    </row>
    <row r="55" spans="1:7" s="207" customFormat="1" ht="24" customHeight="1" x14ac:dyDescent="0.3">
      <c r="A55" s="214" t="s">
        <v>198</v>
      </c>
      <c r="B55" s="214"/>
      <c r="C55" s="215" t="s">
        <v>13</v>
      </c>
      <c r="D55" s="216">
        <f>SUM(D53,D49)</f>
        <v>0</v>
      </c>
      <c r="E55" s="216">
        <f>SUM(E53,E49)</f>
        <v>0</v>
      </c>
      <c r="F55" s="216">
        <f>SUM(F53,F49)</f>
        <v>0</v>
      </c>
      <c r="G55" s="216">
        <f t="shared" si="1"/>
        <v>0</v>
      </c>
    </row>
    <row r="56" spans="1:7" s="207" customFormat="1" ht="6" customHeight="1" x14ac:dyDescent="0.3">
      <c r="A56" s="202"/>
      <c r="B56" s="202"/>
      <c r="C56" s="208"/>
      <c r="D56" s="195"/>
      <c r="E56" s="195"/>
      <c r="F56" s="195"/>
      <c r="G56" s="195"/>
    </row>
    <row r="57" spans="1:7" s="207" customFormat="1" ht="24" customHeight="1" x14ac:dyDescent="0.3">
      <c r="A57" s="202"/>
      <c r="B57" s="202"/>
      <c r="C57" s="208"/>
      <c r="D57" s="195"/>
      <c r="E57" s="195"/>
      <c r="F57" s="195"/>
      <c r="G57" s="195"/>
    </row>
    <row r="58" spans="1:7" s="207" customFormat="1" ht="6" customHeight="1" x14ac:dyDescent="0.3">
      <c r="A58" s="202"/>
      <c r="B58" s="202"/>
      <c r="C58" s="208"/>
      <c r="D58" s="195"/>
      <c r="E58" s="195"/>
      <c r="F58" s="195"/>
      <c r="G58" s="195"/>
    </row>
    <row r="59" spans="1:7" s="207" customFormat="1" ht="24" customHeight="1" x14ac:dyDescent="0.3">
      <c r="A59" s="202"/>
      <c r="B59" s="202"/>
      <c r="C59" s="208"/>
      <c r="D59" s="195"/>
      <c r="E59" s="195"/>
      <c r="F59" s="195"/>
      <c r="G59" s="195"/>
    </row>
    <row r="60" spans="1:7" s="207" customFormat="1" ht="6" customHeight="1" x14ac:dyDescent="0.3">
      <c r="A60" s="202"/>
      <c r="B60" s="202"/>
      <c r="C60" s="208"/>
      <c r="D60" s="195"/>
      <c r="E60" s="195"/>
      <c r="F60" s="195"/>
      <c r="G60" s="195"/>
    </row>
    <row r="61" spans="1:7" s="207" customFormat="1" ht="24" customHeight="1" x14ac:dyDescent="0.3">
      <c r="A61" s="1543" t="s">
        <v>210</v>
      </c>
      <c r="B61" s="1544"/>
      <c r="C61" s="1544"/>
      <c r="D61" s="1544"/>
      <c r="E61" s="1544"/>
      <c r="F61" s="1544"/>
      <c r="G61" s="1545"/>
    </row>
    <row r="62" spans="1:7" s="207" customFormat="1" ht="6" customHeight="1" x14ac:dyDescent="0.3">
      <c r="A62" s="202"/>
      <c r="B62" s="202"/>
      <c r="C62" s="208"/>
      <c r="D62" s="195"/>
      <c r="E62" s="195"/>
      <c r="F62" s="195"/>
      <c r="G62" s="195"/>
    </row>
    <row r="63" spans="1:7" ht="24" customHeight="1" x14ac:dyDescent="0.35">
      <c r="A63" s="175" t="s">
        <v>189</v>
      </c>
      <c r="B63" s="175"/>
      <c r="C63" s="176" t="str">
        <f>C47</f>
        <v>m3/h</v>
      </c>
      <c r="D63" s="196">
        <f>SUM(D31,D47)</f>
        <v>0</v>
      </c>
      <c r="E63" s="196">
        <f>SUM(E31,E47)</f>
        <v>0</v>
      </c>
      <c r="F63" s="196">
        <f>SUM(F31,F47)</f>
        <v>0</v>
      </c>
      <c r="G63" s="178">
        <f>SUM(D63:F63)</f>
        <v>0</v>
      </c>
    </row>
    <row r="64" spans="1:7" ht="6" customHeight="1" x14ac:dyDescent="0.35">
      <c r="A64" s="179"/>
      <c r="B64" s="179"/>
      <c r="C64" s="180"/>
      <c r="D64" s="197"/>
      <c r="E64" s="197"/>
      <c r="F64" s="197"/>
      <c r="G64" s="183"/>
    </row>
    <row r="65" spans="1:7" ht="24" customHeight="1" x14ac:dyDescent="0.35">
      <c r="A65" s="175" t="s">
        <v>202</v>
      </c>
      <c r="B65" s="175"/>
      <c r="C65" s="176" t="s">
        <v>13</v>
      </c>
      <c r="D65" s="191">
        <f>SUM(D33,D49)</f>
        <v>0</v>
      </c>
      <c r="E65" s="191">
        <f>SUM(E33,E49)</f>
        <v>0</v>
      </c>
      <c r="F65" s="191">
        <f>SUM(F33,F49)</f>
        <v>0</v>
      </c>
      <c r="G65" s="192">
        <f>SUM(D65:F65)</f>
        <v>0</v>
      </c>
    </row>
    <row r="66" spans="1:7" ht="6" customHeight="1" x14ac:dyDescent="0.35">
      <c r="A66" s="179"/>
      <c r="B66" s="179"/>
      <c r="C66" s="180"/>
      <c r="D66" s="194"/>
      <c r="E66" s="194"/>
      <c r="F66" s="194"/>
      <c r="G66" s="195"/>
    </row>
    <row r="67" spans="1:7" ht="24" customHeight="1" x14ac:dyDescent="0.35">
      <c r="A67" s="175" t="s">
        <v>190</v>
      </c>
      <c r="B67" s="175"/>
      <c r="C67" s="176" t="str">
        <f>C51</f>
        <v>kWh</v>
      </c>
      <c r="D67" s="196">
        <f>SUM(D35,D51)</f>
        <v>0</v>
      </c>
      <c r="E67" s="196">
        <f>SUM(E35,E51)</f>
        <v>0</v>
      </c>
      <c r="F67" s="196">
        <f>SUM(F35,F51)</f>
        <v>0</v>
      </c>
      <c r="G67" s="178">
        <f>SUM(D67:F67)</f>
        <v>0</v>
      </c>
    </row>
    <row r="68" spans="1:7" ht="6" customHeight="1" x14ac:dyDescent="0.35">
      <c r="A68" s="179"/>
      <c r="B68" s="179"/>
      <c r="C68" s="180"/>
      <c r="D68" s="197"/>
      <c r="E68" s="197"/>
      <c r="F68" s="197"/>
      <c r="G68" s="183"/>
    </row>
    <row r="69" spans="1:7" ht="24" customHeight="1" x14ac:dyDescent="0.35">
      <c r="A69" s="175" t="s">
        <v>199</v>
      </c>
      <c r="B69" s="175"/>
      <c r="C69" s="176" t="s">
        <v>13</v>
      </c>
      <c r="D69" s="191">
        <f>SUM(D37,D53)</f>
        <v>0</v>
      </c>
      <c r="E69" s="191">
        <f>SUM(E37,E53)</f>
        <v>0</v>
      </c>
      <c r="F69" s="191">
        <f>SUM(F37,F53)</f>
        <v>0</v>
      </c>
      <c r="G69" s="192">
        <f>SUM(D69:F69)</f>
        <v>0</v>
      </c>
    </row>
    <row r="70" spans="1:7" ht="23.25" x14ac:dyDescent="0.35">
      <c r="B70" s="179"/>
      <c r="C70" s="180"/>
      <c r="D70" s="205"/>
      <c r="E70" s="205"/>
      <c r="F70" s="205"/>
      <c r="G70" s="206"/>
    </row>
    <row r="71" spans="1:7" ht="23.25" x14ac:dyDescent="0.35">
      <c r="A71" s="209"/>
      <c r="B71" s="179"/>
      <c r="C71" s="180"/>
      <c r="D71" s="205"/>
      <c r="E71" s="205"/>
      <c r="F71" s="205"/>
      <c r="G71" s="206"/>
    </row>
    <row r="72" spans="1:7" x14ac:dyDescent="0.25">
      <c r="A72" s="209"/>
      <c r="D72" s="210"/>
      <c r="E72" s="210"/>
      <c r="F72" s="210"/>
      <c r="G72" s="211"/>
    </row>
    <row r="73" spans="1:7" x14ac:dyDescent="0.25">
      <c r="A73" s="209"/>
      <c r="D73" s="210"/>
      <c r="E73" s="210"/>
      <c r="F73" s="210"/>
      <c r="G73" s="211"/>
    </row>
    <row r="74" spans="1:7" x14ac:dyDescent="0.25">
      <c r="A74" s="209"/>
      <c r="D74" s="210"/>
      <c r="E74" s="210"/>
      <c r="F74" s="210"/>
      <c r="G74" s="211"/>
    </row>
  </sheetData>
  <mergeCells count="5">
    <mergeCell ref="A61:G61"/>
    <mergeCell ref="A28:A29"/>
    <mergeCell ref="A2:H2"/>
    <mergeCell ref="A24:G24"/>
    <mergeCell ref="A41:G41"/>
  </mergeCells>
  <phoneticPr fontId="7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1"/>
  <dimension ref="A1:K111"/>
  <sheetViews>
    <sheetView workbookViewId="0">
      <selection activeCell="C44" sqref="C44"/>
    </sheetView>
  </sheetViews>
  <sheetFormatPr defaultRowHeight="15.75" x14ac:dyDescent="0.25"/>
  <cols>
    <col min="1" max="1" width="18.5" customWidth="1"/>
    <col min="2" max="2" width="15.875" customWidth="1"/>
    <col min="3" max="3" width="13.875" customWidth="1"/>
    <col min="4" max="4" width="11.5" bestFit="1" customWidth="1"/>
    <col min="5" max="5" width="9.75" bestFit="1" customWidth="1"/>
    <col min="6" max="6" width="7.625" bestFit="1" customWidth="1"/>
    <col min="7" max="7" width="9.5" bestFit="1" customWidth="1"/>
    <col min="8" max="8" width="8.75" bestFit="1" customWidth="1"/>
    <col min="9" max="9" width="8.25" bestFit="1" customWidth="1"/>
    <col min="10" max="11" width="8.125" bestFit="1" customWidth="1"/>
  </cols>
  <sheetData>
    <row r="1" spans="1:11" ht="31.5" x14ac:dyDescent="0.25">
      <c r="A1" s="250" t="s">
        <v>256</v>
      </c>
      <c r="B1" s="143"/>
      <c r="C1" s="250" t="s">
        <v>54</v>
      </c>
      <c r="D1" s="250" t="s">
        <v>3</v>
      </c>
      <c r="E1" s="251" t="s">
        <v>227</v>
      </c>
      <c r="F1" s="251" t="s">
        <v>226</v>
      </c>
      <c r="G1" s="250" t="s">
        <v>5</v>
      </c>
      <c r="H1" s="251" t="s">
        <v>225</v>
      </c>
      <c r="I1" s="251" t="s">
        <v>228</v>
      </c>
      <c r="J1" s="251" t="s">
        <v>229</v>
      </c>
      <c r="K1" s="251" t="s">
        <v>230</v>
      </c>
    </row>
    <row r="2" spans="1:11" x14ac:dyDescent="0.25">
      <c r="A2" s="266"/>
      <c r="B2" s="248"/>
      <c r="C2" s="250"/>
      <c r="D2" s="250"/>
      <c r="E2" s="250" t="s">
        <v>6</v>
      </c>
      <c r="F2" s="250" t="s">
        <v>6</v>
      </c>
      <c r="G2" s="250" t="s">
        <v>7</v>
      </c>
      <c r="H2" s="250" t="s">
        <v>6</v>
      </c>
      <c r="I2" s="250" t="s">
        <v>6</v>
      </c>
      <c r="J2" s="250" t="s">
        <v>9</v>
      </c>
      <c r="K2" s="250" t="s">
        <v>9</v>
      </c>
    </row>
    <row r="3" spans="1:11" x14ac:dyDescent="0.25">
      <c r="A3" s="266" t="s">
        <v>266</v>
      </c>
      <c r="B3" s="248"/>
      <c r="C3" s="250">
        <v>8</v>
      </c>
      <c r="D3" s="252"/>
      <c r="E3" s="253">
        <v>22.3</v>
      </c>
      <c r="F3" s="253"/>
      <c r="G3" s="250"/>
      <c r="H3" s="250">
        <v>6.63</v>
      </c>
      <c r="I3" s="250"/>
      <c r="J3" s="250"/>
      <c r="K3" s="250"/>
    </row>
    <row r="4" spans="1:11" x14ac:dyDescent="0.25">
      <c r="A4" s="266" t="s">
        <v>255</v>
      </c>
      <c r="B4" s="248"/>
      <c r="C4" s="250">
        <v>10</v>
      </c>
      <c r="D4" s="252"/>
      <c r="E4" s="253">
        <v>26.6</v>
      </c>
      <c r="F4" s="253"/>
      <c r="G4" s="250"/>
      <c r="H4" s="250">
        <v>8.4</v>
      </c>
      <c r="I4" s="250"/>
      <c r="J4" s="250"/>
      <c r="K4" s="250"/>
    </row>
    <row r="5" spans="1:11" x14ac:dyDescent="0.25">
      <c r="A5" s="266" t="s">
        <v>267</v>
      </c>
      <c r="B5" s="248"/>
      <c r="C5" s="250">
        <v>13</v>
      </c>
      <c r="D5" s="252"/>
      <c r="E5" s="253">
        <v>33</v>
      </c>
      <c r="F5" s="253"/>
      <c r="G5" s="250"/>
      <c r="H5" s="250">
        <v>10</v>
      </c>
      <c r="I5" s="250"/>
      <c r="J5" s="250"/>
      <c r="K5" s="250"/>
    </row>
    <row r="6" spans="1:11" x14ac:dyDescent="0.25">
      <c r="A6" s="266" t="s">
        <v>268</v>
      </c>
      <c r="B6" s="248"/>
      <c r="C6" s="250">
        <v>16</v>
      </c>
      <c r="D6" s="252"/>
      <c r="E6" s="253">
        <v>43</v>
      </c>
      <c r="F6" s="253"/>
      <c r="G6" s="250"/>
      <c r="H6" s="250">
        <v>13.7</v>
      </c>
      <c r="I6" s="250"/>
      <c r="J6" s="250"/>
      <c r="K6" s="250"/>
    </row>
    <row r="7" spans="1:11" x14ac:dyDescent="0.25">
      <c r="A7" s="266" t="s">
        <v>269</v>
      </c>
      <c r="B7" s="248"/>
      <c r="C7" s="250">
        <v>20</v>
      </c>
      <c r="D7" s="252"/>
      <c r="E7" s="253">
        <v>53</v>
      </c>
      <c r="F7" s="253"/>
      <c r="G7" s="250"/>
      <c r="H7" s="250">
        <v>20.3</v>
      </c>
      <c r="I7" s="250"/>
      <c r="J7" s="250"/>
      <c r="K7" s="250"/>
    </row>
    <row r="8" spans="1:11" x14ac:dyDescent="0.25">
      <c r="A8" s="266" t="s">
        <v>270</v>
      </c>
      <c r="B8" s="248"/>
      <c r="C8" s="250">
        <v>25</v>
      </c>
      <c r="D8" s="252"/>
      <c r="E8" s="253">
        <v>68</v>
      </c>
      <c r="F8" s="253"/>
      <c r="G8" s="250"/>
      <c r="H8" s="250">
        <v>26.1</v>
      </c>
      <c r="I8" s="250"/>
      <c r="J8" s="250"/>
      <c r="K8" s="250"/>
    </row>
    <row r="9" spans="1:11" x14ac:dyDescent="0.25">
      <c r="A9" s="266" t="s">
        <v>271</v>
      </c>
      <c r="B9" s="248"/>
      <c r="C9" s="250"/>
      <c r="D9" s="252"/>
      <c r="E9" s="253">
        <v>81</v>
      </c>
      <c r="F9" s="253"/>
      <c r="G9" s="250"/>
      <c r="H9" s="250">
        <v>28.4</v>
      </c>
      <c r="I9" s="250"/>
      <c r="J9" s="250"/>
      <c r="K9" s="250"/>
    </row>
    <row r="10" spans="1:11" x14ac:dyDescent="0.25">
      <c r="A10" s="266" t="s">
        <v>272</v>
      </c>
      <c r="B10" s="248"/>
      <c r="C10" s="250"/>
      <c r="D10" s="252"/>
      <c r="E10" s="253">
        <v>93</v>
      </c>
      <c r="F10" s="253"/>
      <c r="G10" s="250"/>
      <c r="H10" s="250">
        <v>42.5</v>
      </c>
      <c r="I10" s="250"/>
      <c r="J10" s="250"/>
      <c r="K10" s="250"/>
    </row>
    <row r="11" spans="1:11" x14ac:dyDescent="0.25">
      <c r="A11" s="266" t="s">
        <v>273</v>
      </c>
      <c r="B11" s="248"/>
      <c r="C11" s="250"/>
      <c r="D11" s="252"/>
      <c r="E11" s="253">
        <v>127</v>
      </c>
      <c r="F11" s="253"/>
      <c r="G11" s="250"/>
      <c r="H11" s="250">
        <v>57.6</v>
      </c>
      <c r="I11" s="250"/>
      <c r="J11" s="250"/>
      <c r="K11" s="250"/>
    </row>
    <row r="13" spans="1:11" x14ac:dyDescent="0.25">
      <c r="A13" s="1206" t="s">
        <v>257</v>
      </c>
      <c r="B13" s="1207"/>
    </row>
    <row r="14" spans="1:11" x14ac:dyDescent="0.25">
      <c r="A14" s="1206" t="s">
        <v>258</v>
      </c>
      <c r="B14" s="1207"/>
    </row>
    <row r="15" spans="1:11" x14ac:dyDescent="0.25">
      <c r="A15" s="1206" t="s">
        <v>259</v>
      </c>
      <c r="B15" s="1207"/>
    </row>
    <row r="16" spans="1:11" x14ac:dyDescent="0.25">
      <c r="A16" s="1206" t="s">
        <v>260</v>
      </c>
      <c r="B16" s="1207"/>
    </row>
    <row r="17" spans="1:11" x14ac:dyDescent="0.25">
      <c r="A17" s="1206" t="s">
        <v>261</v>
      </c>
      <c r="B17" s="1207"/>
    </row>
    <row r="18" spans="1:11" x14ac:dyDescent="0.25">
      <c r="A18" s="1206" t="s">
        <v>262</v>
      </c>
      <c r="B18" s="1207"/>
    </row>
    <row r="19" spans="1:11" x14ac:dyDescent="0.25">
      <c r="A19" s="1206" t="s">
        <v>263</v>
      </c>
      <c r="B19" s="1207"/>
    </row>
    <row r="20" spans="1:11" x14ac:dyDescent="0.25">
      <c r="A20" s="1206" t="s">
        <v>264</v>
      </c>
      <c r="B20" s="1207"/>
    </row>
    <row r="21" spans="1:11" x14ac:dyDescent="0.25">
      <c r="A21" s="1206" t="s">
        <v>265</v>
      </c>
      <c r="B21" s="1207"/>
    </row>
    <row r="22" spans="1:11" ht="16.5" thickBot="1" x14ac:dyDescent="0.3">
      <c r="F22" t="s">
        <v>241</v>
      </c>
      <c r="G22" t="s">
        <v>242</v>
      </c>
      <c r="H22" t="s">
        <v>243</v>
      </c>
      <c r="I22" t="s">
        <v>244</v>
      </c>
      <c r="J22" s="6"/>
      <c r="K22" s="6"/>
    </row>
    <row r="23" spans="1:11" x14ac:dyDescent="0.25">
      <c r="A23" s="224" t="s">
        <v>215</v>
      </c>
      <c r="B23" s="225" t="s">
        <v>217</v>
      </c>
      <c r="C23" s="225" t="s">
        <v>240</v>
      </c>
      <c r="D23" s="226" t="s">
        <v>79</v>
      </c>
      <c r="E23" s="226" t="s">
        <v>69</v>
      </c>
      <c r="F23" s="1202" t="s">
        <v>219</v>
      </c>
      <c r="G23" s="1203"/>
      <c r="H23" s="1203"/>
      <c r="I23" s="1205"/>
      <c r="J23" s="9"/>
      <c r="K23" s="9"/>
    </row>
    <row r="24" spans="1:11" ht="16.5" thickBot="1" x14ac:dyDescent="0.3">
      <c r="A24" s="270"/>
      <c r="B24" s="270"/>
      <c r="C24" s="270"/>
      <c r="D24" s="270"/>
      <c r="E24" s="270"/>
      <c r="F24" s="271">
        <v>25</v>
      </c>
      <c r="G24" s="271">
        <v>29</v>
      </c>
      <c r="H24" s="271">
        <v>35</v>
      </c>
      <c r="I24" s="272">
        <v>39</v>
      </c>
      <c r="J24" s="9"/>
      <c r="K24" s="9"/>
    </row>
    <row r="25" spans="1:11" x14ac:dyDescent="0.25">
      <c r="A25" s="256" t="s">
        <v>266</v>
      </c>
      <c r="B25" s="230">
        <v>1</v>
      </c>
      <c r="C25" s="230">
        <f>'1-Ore funzionamento'!AG7</f>
        <v>0.04</v>
      </c>
      <c r="D25" s="277">
        <v>22.3</v>
      </c>
      <c r="E25" s="261">
        <f t="shared" ref="E25:E30" si="0">IF($B$103&lt;=$F$24,F25,IF(AND($B$103&gt;=$F$24,$B$103&lt;=$G$24),F25+(G25-F25)*($B$103-$F$24)/($G$24-$F$24),IF(AND($B$103&gt;=$G$24,$B$103&lt;=$H$24),G25+(H25-G25)*($B$103-$G$24)/($H$24-$G$24),IF(AND($B$103&gt;=$H$24,$B$103&lt;=$I$24),H25+(I25-H25)*($B$103-$H$24)/($I$24-$H$24),IF(AND($B$103&gt;=$I$24,$B$103&lt;=$J$24),I25+(J25-I25)*($B$103-$I$24)/($J$24-$I$24),IF(AND($B$103&gt;=$J$24,$B$103&lt;=$K$24),J25+(K25-J25)*($B$103-$J$24)/($K$24-$J$24),K25))))))</f>
        <v>0</v>
      </c>
      <c r="F25" s="226"/>
      <c r="G25" s="226"/>
      <c r="H25" s="278">
        <v>6.63</v>
      </c>
      <c r="I25" s="231"/>
      <c r="J25" s="9"/>
      <c r="K25" s="9"/>
    </row>
    <row r="26" spans="1:11" x14ac:dyDescent="0.25">
      <c r="A26" s="257" t="s">
        <v>255</v>
      </c>
      <c r="B26" s="222">
        <v>1</v>
      </c>
      <c r="C26" s="222">
        <f t="shared" ref="C26:C33" si="1">C25</f>
        <v>0.04</v>
      </c>
      <c r="D26" s="253">
        <v>26.6</v>
      </c>
      <c r="E26" s="267">
        <f t="shared" si="0"/>
        <v>0</v>
      </c>
      <c r="F26" s="221"/>
      <c r="G26" s="221"/>
      <c r="H26" s="250">
        <v>8.4</v>
      </c>
      <c r="I26" s="233"/>
      <c r="J26" s="9"/>
      <c r="K26" s="9"/>
    </row>
    <row r="27" spans="1:11" x14ac:dyDescent="0.25">
      <c r="A27" s="257" t="s">
        <v>267</v>
      </c>
      <c r="B27" s="222">
        <v>1</v>
      </c>
      <c r="C27" s="222">
        <f t="shared" si="1"/>
        <v>0.04</v>
      </c>
      <c r="D27" s="253">
        <v>33</v>
      </c>
      <c r="E27" s="267">
        <f t="shared" si="0"/>
        <v>0</v>
      </c>
      <c r="F27" s="223"/>
      <c r="G27" s="223"/>
      <c r="H27" s="250">
        <v>10</v>
      </c>
      <c r="I27" s="234"/>
      <c r="J27" s="4"/>
      <c r="K27" s="4"/>
    </row>
    <row r="28" spans="1:11" x14ac:dyDescent="0.25">
      <c r="A28" s="257" t="s">
        <v>268</v>
      </c>
      <c r="B28" s="222">
        <v>1</v>
      </c>
      <c r="C28" s="222">
        <f t="shared" si="1"/>
        <v>0.04</v>
      </c>
      <c r="D28" s="253">
        <v>43</v>
      </c>
      <c r="E28" s="267">
        <f t="shared" si="0"/>
        <v>0</v>
      </c>
      <c r="F28" s="223"/>
      <c r="G28" s="223"/>
      <c r="H28" s="250">
        <v>13.7</v>
      </c>
      <c r="I28" s="234"/>
      <c r="J28" s="4"/>
      <c r="K28" s="4"/>
    </row>
    <row r="29" spans="1:11" x14ac:dyDescent="0.25">
      <c r="A29" s="257" t="s">
        <v>269</v>
      </c>
      <c r="B29" s="222">
        <v>1</v>
      </c>
      <c r="C29" s="222">
        <f t="shared" si="1"/>
        <v>0.04</v>
      </c>
      <c r="D29" s="253">
        <v>53</v>
      </c>
      <c r="E29" s="267">
        <f t="shared" si="0"/>
        <v>0</v>
      </c>
      <c r="F29" s="223"/>
      <c r="G29" s="223"/>
      <c r="H29" s="250">
        <v>20.3</v>
      </c>
      <c r="I29" s="234"/>
      <c r="J29" s="4"/>
      <c r="K29" s="4"/>
    </row>
    <row r="30" spans="1:11" x14ac:dyDescent="0.25">
      <c r="A30" s="257" t="s">
        <v>270</v>
      </c>
      <c r="B30" s="222">
        <v>1</v>
      </c>
      <c r="C30" s="222">
        <f t="shared" si="1"/>
        <v>0.04</v>
      </c>
      <c r="D30" s="253">
        <v>68</v>
      </c>
      <c r="E30" s="267">
        <f t="shared" si="0"/>
        <v>0</v>
      </c>
      <c r="F30" s="223"/>
      <c r="G30" s="223"/>
      <c r="H30" s="250">
        <v>26.1</v>
      </c>
      <c r="I30" s="234"/>
      <c r="J30" s="4"/>
      <c r="K30" s="4"/>
    </row>
    <row r="31" spans="1:11" x14ac:dyDescent="0.25">
      <c r="A31" s="257" t="s">
        <v>271</v>
      </c>
      <c r="B31" s="222">
        <v>1</v>
      </c>
      <c r="C31" s="222">
        <f t="shared" si="1"/>
        <v>0.04</v>
      </c>
      <c r="D31" s="253">
        <v>81</v>
      </c>
      <c r="E31" s="267"/>
      <c r="F31" s="223"/>
      <c r="G31" s="223"/>
      <c r="H31" s="250">
        <v>28.4</v>
      </c>
      <c r="I31" s="234"/>
      <c r="J31" s="4"/>
      <c r="K31" s="4"/>
    </row>
    <row r="32" spans="1:11" x14ac:dyDescent="0.25">
      <c r="A32" s="257" t="s">
        <v>272</v>
      </c>
      <c r="B32" s="222">
        <v>1</v>
      </c>
      <c r="C32" s="222">
        <f t="shared" si="1"/>
        <v>0.04</v>
      </c>
      <c r="D32" s="253">
        <v>93</v>
      </c>
      <c r="E32" s="267"/>
      <c r="F32" s="223"/>
      <c r="G32" s="223"/>
      <c r="H32" s="250">
        <v>42.5</v>
      </c>
      <c r="I32" s="234"/>
      <c r="J32" s="4"/>
      <c r="K32" s="4"/>
    </row>
    <row r="33" spans="1:11" ht="16.5" thickBot="1" x14ac:dyDescent="0.3">
      <c r="A33" s="258" t="s">
        <v>273</v>
      </c>
      <c r="B33" s="236">
        <v>1</v>
      </c>
      <c r="C33" s="236">
        <f t="shared" si="1"/>
        <v>0.04</v>
      </c>
      <c r="D33" s="279">
        <v>127</v>
      </c>
      <c r="E33" s="268"/>
      <c r="F33" s="237"/>
      <c r="G33" s="237"/>
      <c r="H33" s="280">
        <v>57.6</v>
      </c>
      <c r="I33" s="238"/>
      <c r="J33" s="4"/>
      <c r="K33" s="4"/>
    </row>
    <row r="34" spans="1:11" x14ac:dyDescent="0.25">
      <c r="A34" s="256" t="s">
        <v>266</v>
      </c>
      <c r="B34" s="230">
        <v>0.9</v>
      </c>
      <c r="C34" s="230">
        <f>'1-Ore funzionamento'!AG8</f>
        <v>0.09</v>
      </c>
      <c r="D34" s="218">
        <f>D25*B34</f>
        <v>20.07</v>
      </c>
      <c r="E34" s="261">
        <f t="shared" ref="E34:E39" si="2">IF($B$103&lt;=$F$24,F34,IF(AND($B$103&gt;=$F$24,$B$103&lt;=$G$24),F34+(G34-F34)*($B$103-$F$24)/($G$24-$F$24),IF(AND($B$103&gt;=$G$24,$B$103&lt;=$H$24),G34+(H34-G34)*($B$103-$G$24)/($H$24-$G$24),IF(AND($B$103&gt;=$H$24,$B$103&lt;=$I$24),H34+(I34-H34)*($B$103-$H$24)/($I$24-$H$24),IF(AND($B$103&gt;=$I$24,$B$103&lt;=$J$24),I34+(J34-I34)*($B$103-$I$24)/($J$24-$I$24),IF(AND($B$103&gt;=$J$24,$B$103&lt;=$K$24),J34+(K34-J34)*($B$103-$J$24)/($K$24-$J$24),K34))))))</f>
        <v>0</v>
      </c>
      <c r="F34" s="226"/>
      <c r="G34" s="226"/>
      <c r="H34" s="226"/>
      <c r="I34" s="231"/>
      <c r="J34" s="9"/>
      <c r="K34" s="9"/>
    </row>
    <row r="35" spans="1:11" x14ac:dyDescent="0.25">
      <c r="A35" s="257" t="s">
        <v>255</v>
      </c>
      <c r="B35" s="222">
        <v>0.9</v>
      </c>
      <c r="C35" s="222">
        <f t="shared" ref="C35:C42" si="3">C34</f>
        <v>0.09</v>
      </c>
      <c r="D35" s="217">
        <f t="shared" ref="D35:D42" si="4">D26*B35</f>
        <v>23.94</v>
      </c>
      <c r="E35" s="267">
        <f t="shared" si="2"/>
        <v>0</v>
      </c>
      <c r="F35" s="221"/>
      <c r="G35" s="221"/>
      <c r="H35" s="221"/>
      <c r="I35" s="233"/>
      <c r="J35" s="9"/>
      <c r="K35" s="9"/>
    </row>
    <row r="36" spans="1:11" x14ac:dyDescent="0.25">
      <c r="A36" s="257" t="s">
        <v>267</v>
      </c>
      <c r="B36" s="222">
        <v>0.9</v>
      </c>
      <c r="C36" s="222">
        <f t="shared" si="3"/>
        <v>0.09</v>
      </c>
      <c r="D36" s="217">
        <f t="shared" si="4"/>
        <v>29.7</v>
      </c>
      <c r="E36" s="267">
        <f t="shared" si="2"/>
        <v>0</v>
      </c>
      <c r="F36" s="223"/>
      <c r="G36" s="223"/>
      <c r="H36" s="223"/>
      <c r="I36" s="234"/>
      <c r="J36" s="4"/>
      <c r="K36" s="4"/>
    </row>
    <row r="37" spans="1:11" x14ac:dyDescent="0.25">
      <c r="A37" s="257" t="s">
        <v>268</v>
      </c>
      <c r="B37" s="222">
        <v>0.9</v>
      </c>
      <c r="C37" s="222">
        <f t="shared" si="3"/>
        <v>0.09</v>
      </c>
      <c r="D37" s="217">
        <f t="shared" si="4"/>
        <v>38.700000000000003</v>
      </c>
      <c r="E37" s="267">
        <f t="shared" si="2"/>
        <v>0</v>
      </c>
      <c r="F37" s="223"/>
      <c r="G37" s="223"/>
      <c r="H37" s="223"/>
      <c r="I37" s="234"/>
      <c r="J37" s="4"/>
      <c r="K37" s="4"/>
    </row>
    <row r="38" spans="1:11" x14ac:dyDescent="0.25">
      <c r="A38" s="257" t="s">
        <v>269</v>
      </c>
      <c r="B38" s="222">
        <v>0.9</v>
      </c>
      <c r="C38" s="222">
        <f t="shared" si="3"/>
        <v>0.09</v>
      </c>
      <c r="D38" s="217">
        <f t="shared" si="4"/>
        <v>47.7</v>
      </c>
      <c r="E38" s="267">
        <f t="shared" si="2"/>
        <v>0</v>
      </c>
      <c r="F38" s="223"/>
      <c r="G38" s="223"/>
      <c r="H38" s="223"/>
      <c r="I38" s="234"/>
      <c r="J38" s="4"/>
      <c r="K38" s="4"/>
    </row>
    <row r="39" spans="1:11" x14ac:dyDescent="0.25">
      <c r="A39" s="257" t="s">
        <v>270</v>
      </c>
      <c r="B39" s="222">
        <v>0.9</v>
      </c>
      <c r="C39" s="222">
        <f t="shared" si="3"/>
        <v>0.09</v>
      </c>
      <c r="D39" s="217">
        <f t="shared" si="4"/>
        <v>61.2</v>
      </c>
      <c r="E39" s="267">
        <f t="shared" si="2"/>
        <v>0</v>
      </c>
      <c r="F39" s="223"/>
      <c r="G39" s="223"/>
      <c r="H39" s="223"/>
      <c r="I39" s="234"/>
      <c r="J39" s="4"/>
      <c r="K39" s="4"/>
    </row>
    <row r="40" spans="1:11" x14ac:dyDescent="0.25">
      <c r="A40" s="257" t="s">
        <v>271</v>
      </c>
      <c r="B40" s="222">
        <v>0.9</v>
      </c>
      <c r="C40" s="222">
        <f t="shared" si="3"/>
        <v>0.09</v>
      </c>
      <c r="D40" s="217">
        <f t="shared" si="4"/>
        <v>72.900000000000006</v>
      </c>
      <c r="E40" s="267"/>
      <c r="F40" s="223"/>
      <c r="G40" s="223"/>
      <c r="H40" s="223"/>
      <c r="I40" s="234"/>
      <c r="J40" s="4"/>
      <c r="K40" s="4"/>
    </row>
    <row r="41" spans="1:11" x14ac:dyDescent="0.25">
      <c r="A41" s="257" t="s">
        <v>272</v>
      </c>
      <c r="B41" s="222">
        <v>0.9</v>
      </c>
      <c r="C41" s="222">
        <f t="shared" si="3"/>
        <v>0.09</v>
      </c>
      <c r="D41" s="217">
        <f t="shared" si="4"/>
        <v>83.7</v>
      </c>
      <c r="E41" s="267"/>
      <c r="F41" s="223"/>
      <c r="G41" s="223"/>
      <c r="H41" s="223"/>
      <c r="I41" s="234"/>
      <c r="J41" s="4"/>
      <c r="K41" s="4"/>
    </row>
    <row r="42" spans="1:11" ht="16.5" thickBot="1" x14ac:dyDescent="0.3">
      <c r="A42" s="258" t="s">
        <v>273</v>
      </c>
      <c r="B42" s="236">
        <v>0.9</v>
      </c>
      <c r="C42" s="236">
        <f t="shared" si="3"/>
        <v>0.09</v>
      </c>
      <c r="D42" s="219">
        <f t="shared" si="4"/>
        <v>114.3</v>
      </c>
      <c r="E42" s="268"/>
      <c r="F42" s="237"/>
      <c r="G42" s="237"/>
      <c r="H42" s="237"/>
      <c r="I42" s="238"/>
      <c r="J42" s="4"/>
      <c r="K42" s="4"/>
    </row>
    <row r="43" spans="1:11" x14ac:dyDescent="0.25">
      <c r="A43" s="256" t="s">
        <v>266</v>
      </c>
      <c r="B43" s="230">
        <v>0.8</v>
      </c>
      <c r="C43" s="230">
        <f>'1-Ore funzionamento'!AG9</f>
        <v>0.15</v>
      </c>
      <c r="D43" s="218">
        <f>D25*B43</f>
        <v>17.84</v>
      </c>
      <c r="E43" s="261">
        <f t="shared" ref="E43:E48" si="5">IF($B$103&lt;=$F$24,F43,IF(AND($B$103&gt;=$F$24,$B$103&lt;=$G$24),F43+(G43-F43)*($B$103-$F$24)/($G$24-$F$24),IF(AND($B$103&gt;=$G$24,$B$103&lt;=$H$24),G43+(H43-G43)*($B$103-$G$24)/($H$24-$G$24),IF(AND($B$103&gt;=$H$24,$B$103&lt;=$I$24),H43+(I43-H43)*($B$103-$H$24)/($I$24-$H$24),IF(AND($B$103&gt;=$I$24,$B$103&lt;=$J$24),I43+(J43-I43)*($B$103-$I$24)/($J$24-$I$24),IF(AND($B$103&gt;=$J$24,$B$103&lt;=$K$24),J43+(K43-J43)*($B$103-$J$24)/($K$24-$J$24),K43))))))</f>
        <v>0</v>
      </c>
      <c r="F43" s="226"/>
      <c r="G43" s="226"/>
      <c r="H43" s="226"/>
      <c r="I43" s="231"/>
      <c r="J43" s="9"/>
      <c r="K43" s="9"/>
    </row>
    <row r="44" spans="1:11" x14ac:dyDescent="0.25">
      <c r="A44" s="257" t="s">
        <v>255</v>
      </c>
      <c r="B44" s="222">
        <v>0.8</v>
      </c>
      <c r="C44" s="222">
        <f t="shared" ref="C44:C51" si="6">C43</f>
        <v>0.15</v>
      </c>
      <c r="D44" s="217">
        <f t="shared" ref="D44:D51" si="7">D26*B44</f>
        <v>21.28</v>
      </c>
      <c r="E44" s="267">
        <f t="shared" si="5"/>
        <v>0</v>
      </c>
      <c r="F44" s="221"/>
      <c r="G44" s="221"/>
      <c r="H44" s="221"/>
      <c r="I44" s="233"/>
      <c r="J44" s="9"/>
      <c r="K44" s="9"/>
    </row>
    <row r="45" spans="1:11" x14ac:dyDescent="0.25">
      <c r="A45" s="257" t="s">
        <v>267</v>
      </c>
      <c r="B45" s="222">
        <v>0.8</v>
      </c>
      <c r="C45" s="222">
        <f t="shared" si="6"/>
        <v>0.15</v>
      </c>
      <c r="D45" s="217">
        <f t="shared" si="7"/>
        <v>26.400000000000002</v>
      </c>
      <c r="E45" s="267">
        <f t="shared" si="5"/>
        <v>0</v>
      </c>
      <c r="F45" s="223"/>
      <c r="G45" s="223"/>
      <c r="H45" s="223"/>
      <c r="I45" s="234"/>
      <c r="J45" s="4"/>
      <c r="K45" s="4"/>
    </row>
    <row r="46" spans="1:11" x14ac:dyDescent="0.25">
      <c r="A46" s="257" t="s">
        <v>268</v>
      </c>
      <c r="B46" s="222">
        <v>0.8</v>
      </c>
      <c r="C46" s="222">
        <f t="shared" si="6"/>
        <v>0.15</v>
      </c>
      <c r="D46" s="217">
        <f t="shared" si="7"/>
        <v>34.4</v>
      </c>
      <c r="E46" s="267">
        <f t="shared" si="5"/>
        <v>0</v>
      </c>
      <c r="F46" s="223"/>
      <c r="G46" s="223"/>
      <c r="H46" s="223"/>
      <c r="I46" s="234"/>
      <c r="J46" s="4"/>
      <c r="K46" s="4"/>
    </row>
    <row r="47" spans="1:11" x14ac:dyDescent="0.25">
      <c r="A47" s="257" t="s">
        <v>269</v>
      </c>
      <c r="B47" s="222">
        <v>0.8</v>
      </c>
      <c r="C47" s="222">
        <f t="shared" si="6"/>
        <v>0.15</v>
      </c>
      <c r="D47" s="217">
        <f t="shared" si="7"/>
        <v>42.400000000000006</v>
      </c>
      <c r="E47" s="267">
        <f t="shared" si="5"/>
        <v>0</v>
      </c>
      <c r="F47" s="223"/>
      <c r="G47" s="223"/>
      <c r="H47" s="223"/>
      <c r="I47" s="234"/>
      <c r="J47" s="4"/>
      <c r="K47" s="4"/>
    </row>
    <row r="48" spans="1:11" x14ac:dyDescent="0.25">
      <c r="A48" s="257" t="s">
        <v>270</v>
      </c>
      <c r="B48" s="222">
        <v>0.8</v>
      </c>
      <c r="C48" s="222">
        <f t="shared" si="6"/>
        <v>0.15</v>
      </c>
      <c r="D48" s="217">
        <f t="shared" si="7"/>
        <v>54.400000000000006</v>
      </c>
      <c r="E48" s="267">
        <f t="shared" si="5"/>
        <v>0</v>
      </c>
      <c r="F48" s="223"/>
      <c r="G48" s="223"/>
      <c r="H48" s="223"/>
      <c r="I48" s="234"/>
      <c r="J48" s="4"/>
      <c r="K48" s="4"/>
    </row>
    <row r="49" spans="1:11" x14ac:dyDescent="0.25">
      <c r="A49" s="257" t="s">
        <v>271</v>
      </c>
      <c r="B49" s="222">
        <v>0.8</v>
      </c>
      <c r="C49" s="222">
        <f t="shared" si="6"/>
        <v>0.15</v>
      </c>
      <c r="D49" s="217">
        <f t="shared" si="7"/>
        <v>64.8</v>
      </c>
      <c r="E49" s="267"/>
      <c r="F49" s="223"/>
      <c r="G49" s="223"/>
      <c r="H49" s="223"/>
      <c r="I49" s="234"/>
      <c r="J49" s="4"/>
      <c r="K49" s="4"/>
    </row>
    <row r="50" spans="1:11" x14ac:dyDescent="0.25">
      <c r="A50" s="257" t="s">
        <v>272</v>
      </c>
      <c r="B50" s="222">
        <v>0.8</v>
      </c>
      <c r="C50" s="222">
        <f t="shared" si="6"/>
        <v>0.15</v>
      </c>
      <c r="D50" s="217">
        <f t="shared" si="7"/>
        <v>74.400000000000006</v>
      </c>
      <c r="E50" s="267"/>
      <c r="F50" s="223"/>
      <c r="G50" s="223"/>
      <c r="H50" s="223"/>
      <c r="I50" s="234"/>
      <c r="J50" s="4"/>
      <c r="K50" s="4"/>
    </row>
    <row r="51" spans="1:11" ht="16.5" thickBot="1" x14ac:dyDescent="0.3">
      <c r="A51" s="258" t="s">
        <v>273</v>
      </c>
      <c r="B51" s="236">
        <v>0.8</v>
      </c>
      <c r="C51" s="236">
        <f t="shared" si="6"/>
        <v>0.15</v>
      </c>
      <c r="D51" s="219">
        <f t="shared" si="7"/>
        <v>101.60000000000001</v>
      </c>
      <c r="E51" s="268"/>
      <c r="F51" s="237"/>
      <c r="G51" s="237"/>
      <c r="H51" s="237"/>
      <c r="I51" s="238"/>
      <c r="J51" s="4"/>
      <c r="K51" s="4"/>
    </row>
    <row r="52" spans="1:11" x14ac:dyDescent="0.25">
      <c r="A52" s="256" t="s">
        <v>266</v>
      </c>
      <c r="B52" s="230">
        <v>0.7</v>
      </c>
      <c r="C52" s="230">
        <f>'1-Ore funzionamento'!AG10</f>
        <v>0.19</v>
      </c>
      <c r="D52" s="218">
        <f>D25*B52</f>
        <v>15.61</v>
      </c>
      <c r="E52" s="261">
        <f t="shared" ref="E52:E57" si="8">IF($B$103&lt;=$F$24,F52,IF(AND($B$103&gt;=$F$24,$B$103&lt;=$G$24),F52+(G52-F52)*($B$103-$F$24)/($G$24-$F$24),IF(AND($B$103&gt;=$G$24,$B$103&lt;=$H$24),G52+(H52-G52)*($B$103-$G$24)/($H$24-$G$24),IF(AND($B$103&gt;=$H$24,$B$103&lt;=$I$24),H52+(I52-H52)*($B$103-$H$24)/($I$24-$H$24),IF(AND($B$103&gt;=$I$24,$B$103&lt;=$J$24),I52+(J52-I52)*($B$103-$I$24)/($J$24-$I$24),IF(AND($B$103&gt;=$J$24,$B$103&lt;=$K$24),J52+(K52-J52)*($B$103-$J$24)/($K$24-$J$24),K52))))))</f>
        <v>0</v>
      </c>
      <c r="F52" s="226"/>
      <c r="G52" s="226"/>
      <c r="H52" s="226"/>
      <c r="I52" s="231"/>
      <c r="J52" s="9"/>
      <c r="K52" s="9"/>
    </row>
    <row r="53" spans="1:11" x14ac:dyDescent="0.25">
      <c r="A53" s="257" t="s">
        <v>255</v>
      </c>
      <c r="B53" s="222">
        <v>0.7</v>
      </c>
      <c r="C53" s="222">
        <f t="shared" ref="C53:C60" si="9">C52</f>
        <v>0.19</v>
      </c>
      <c r="D53" s="217">
        <f t="shared" ref="D53:D60" si="10">D26*B53</f>
        <v>18.62</v>
      </c>
      <c r="E53" s="267">
        <f t="shared" si="8"/>
        <v>0</v>
      </c>
      <c r="F53" s="221"/>
      <c r="G53" s="221"/>
      <c r="H53" s="221"/>
      <c r="I53" s="233"/>
      <c r="J53" s="9"/>
      <c r="K53" s="9"/>
    </row>
    <row r="54" spans="1:11" x14ac:dyDescent="0.25">
      <c r="A54" s="257" t="s">
        <v>267</v>
      </c>
      <c r="B54" s="222">
        <v>0.7</v>
      </c>
      <c r="C54" s="222">
        <f t="shared" si="9"/>
        <v>0.19</v>
      </c>
      <c r="D54" s="217">
        <f t="shared" si="10"/>
        <v>23.099999999999998</v>
      </c>
      <c r="E54" s="267">
        <f t="shared" si="8"/>
        <v>0</v>
      </c>
      <c r="F54" s="223"/>
      <c r="G54" s="223"/>
      <c r="H54" s="223"/>
      <c r="I54" s="234"/>
      <c r="J54" s="4"/>
      <c r="K54" s="4"/>
    </row>
    <row r="55" spans="1:11" x14ac:dyDescent="0.25">
      <c r="A55" s="257" t="s">
        <v>268</v>
      </c>
      <c r="B55" s="222">
        <v>0.7</v>
      </c>
      <c r="C55" s="222">
        <f t="shared" si="9"/>
        <v>0.19</v>
      </c>
      <c r="D55" s="217">
        <f t="shared" si="10"/>
        <v>30.099999999999998</v>
      </c>
      <c r="E55" s="267">
        <f t="shared" si="8"/>
        <v>0</v>
      </c>
      <c r="F55" s="223"/>
      <c r="G55" s="223"/>
      <c r="H55" s="223"/>
      <c r="I55" s="234"/>
      <c r="J55" s="4"/>
      <c r="K55" s="4"/>
    </row>
    <row r="56" spans="1:11" x14ac:dyDescent="0.25">
      <c r="A56" s="257" t="s">
        <v>269</v>
      </c>
      <c r="B56" s="222">
        <v>0.7</v>
      </c>
      <c r="C56" s="222">
        <f t="shared" si="9"/>
        <v>0.19</v>
      </c>
      <c r="D56" s="217">
        <f t="shared" si="10"/>
        <v>37.099999999999994</v>
      </c>
      <c r="E56" s="267">
        <f t="shared" si="8"/>
        <v>0</v>
      </c>
      <c r="F56" s="223"/>
      <c r="G56" s="223"/>
      <c r="H56" s="223"/>
      <c r="I56" s="234"/>
      <c r="J56" s="4"/>
      <c r="K56" s="4"/>
    </row>
    <row r="57" spans="1:11" x14ac:dyDescent="0.25">
      <c r="A57" s="257" t="s">
        <v>270</v>
      </c>
      <c r="B57" s="222">
        <v>0.7</v>
      </c>
      <c r="C57" s="222">
        <f t="shared" si="9"/>
        <v>0.19</v>
      </c>
      <c r="D57" s="217">
        <f t="shared" si="10"/>
        <v>47.599999999999994</v>
      </c>
      <c r="E57" s="267">
        <f t="shared" si="8"/>
        <v>0</v>
      </c>
      <c r="F57" s="223"/>
      <c r="G57" s="223"/>
      <c r="H57" s="223"/>
      <c r="I57" s="234"/>
      <c r="J57" s="4"/>
      <c r="K57" s="4"/>
    </row>
    <row r="58" spans="1:11" x14ac:dyDescent="0.25">
      <c r="A58" s="257" t="s">
        <v>271</v>
      </c>
      <c r="B58" s="222">
        <v>0.7</v>
      </c>
      <c r="C58" s="222">
        <f t="shared" si="9"/>
        <v>0.19</v>
      </c>
      <c r="D58" s="217">
        <f t="shared" si="10"/>
        <v>56.699999999999996</v>
      </c>
      <c r="E58" s="267"/>
      <c r="F58" s="223"/>
      <c r="G58" s="223"/>
      <c r="H58" s="223"/>
      <c r="I58" s="234"/>
      <c r="J58" s="4"/>
      <c r="K58" s="4"/>
    </row>
    <row r="59" spans="1:11" x14ac:dyDescent="0.25">
      <c r="A59" s="257" t="s">
        <v>272</v>
      </c>
      <c r="B59" s="222">
        <v>0.7</v>
      </c>
      <c r="C59" s="222">
        <f t="shared" si="9"/>
        <v>0.19</v>
      </c>
      <c r="D59" s="217">
        <f t="shared" si="10"/>
        <v>65.099999999999994</v>
      </c>
      <c r="E59" s="267"/>
      <c r="F59" s="223"/>
      <c r="G59" s="223"/>
      <c r="H59" s="223"/>
      <c r="I59" s="234"/>
      <c r="J59" s="4"/>
      <c r="K59" s="4"/>
    </row>
    <row r="60" spans="1:11" ht="16.5" thickBot="1" x14ac:dyDescent="0.3">
      <c r="A60" s="258" t="s">
        <v>273</v>
      </c>
      <c r="B60" s="236">
        <v>0.7</v>
      </c>
      <c r="C60" s="236">
        <f t="shared" si="9"/>
        <v>0.19</v>
      </c>
      <c r="D60" s="219">
        <f t="shared" si="10"/>
        <v>88.899999999999991</v>
      </c>
      <c r="E60" s="268"/>
      <c r="F60" s="237"/>
      <c r="G60" s="237"/>
      <c r="H60" s="237"/>
      <c r="I60" s="238"/>
      <c r="J60" s="4"/>
      <c r="K60" s="4"/>
    </row>
    <row r="61" spans="1:11" x14ac:dyDescent="0.25">
      <c r="A61" s="256" t="s">
        <v>266</v>
      </c>
      <c r="B61" s="230">
        <v>0.6</v>
      </c>
      <c r="C61" s="230">
        <f>'1-Ore funzionamento'!AG11</f>
        <v>0.21</v>
      </c>
      <c r="D61" s="218">
        <f>D25*B61</f>
        <v>13.38</v>
      </c>
      <c r="E61" s="261">
        <f t="shared" ref="E61:E66" si="11">IF($B$103&lt;=$F$24,F61,IF(AND($B$103&gt;=$F$24,$B$103&lt;=$G$24),F61+(G61-F61)*($B$103-$F$24)/($G$24-$F$24),IF(AND($B$103&gt;=$G$24,$B$103&lt;=$H$24),G61+(H61-G61)*($B$103-$G$24)/($H$24-$G$24),IF(AND($B$103&gt;=$H$24,$B$103&lt;=$I$24),H61+(I61-H61)*($B$103-$H$24)/($I$24-$H$24),IF(AND($B$103&gt;=$I$24,$B$103&lt;=$J$24),I61+(J61-I61)*($B$103-$I$24)/($J$24-$I$24),IF(AND($B$103&gt;=$J$24,$B$103&lt;=$K$24),J61+(K61-J61)*($B$103-$J$24)/($K$24-$J$24),K61))))))</f>
        <v>0</v>
      </c>
      <c r="F61" s="226"/>
      <c r="G61" s="226"/>
      <c r="H61" s="226"/>
      <c r="I61" s="231"/>
      <c r="J61" s="9"/>
      <c r="K61" s="9"/>
    </row>
    <row r="62" spans="1:11" x14ac:dyDescent="0.25">
      <c r="A62" s="257" t="s">
        <v>255</v>
      </c>
      <c r="B62" s="222">
        <v>0.6</v>
      </c>
      <c r="C62" s="222">
        <f t="shared" ref="C62:C69" si="12">C61</f>
        <v>0.21</v>
      </c>
      <c r="D62" s="217">
        <f t="shared" ref="D62:D69" si="13">D26*B62</f>
        <v>15.96</v>
      </c>
      <c r="E62" s="267">
        <f t="shared" si="11"/>
        <v>0</v>
      </c>
      <c r="F62" s="221"/>
      <c r="G62" s="221"/>
      <c r="H62" s="221"/>
      <c r="I62" s="233"/>
      <c r="J62" s="9"/>
      <c r="K62" s="9"/>
    </row>
    <row r="63" spans="1:11" x14ac:dyDescent="0.25">
      <c r="A63" s="257" t="s">
        <v>267</v>
      </c>
      <c r="B63" s="222">
        <v>0.6</v>
      </c>
      <c r="C63" s="222">
        <f t="shared" si="12"/>
        <v>0.21</v>
      </c>
      <c r="D63" s="217">
        <f t="shared" si="13"/>
        <v>19.8</v>
      </c>
      <c r="E63" s="267">
        <f t="shared" si="11"/>
        <v>0</v>
      </c>
      <c r="F63" s="223"/>
      <c r="G63" s="223"/>
      <c r="H63" s="223"/>
      <c r="I63" s="234"/>
      <c r="J63" s="4"/>
      <c r="K63" s="4"/>
    </row>
    <row r="64" spans="1:11" x14ac:dyDescent="0.25">
      <c r="A64" s="257" t="s">
        <v>268</v>
      </c>
      <c r="B64" s="222">
        <v>0.6</v>
      </c>
      <c r="C64" s="222">
        <f t="shared" si="12"/>
        <v>0.21</v>
      </c>
      <c r="D64" s="217">
        <f t="shared" si="13"/>
        <v>25.8</v>
      </c>
      <c r="E64" s="267">
        <f t="shared" si="11"/>
        <v>0</v>
      </c>
      <c r="F64" s="223"/>
      <c r="G64" s="223"/>
      <c r="H64" s="223"/>
      <c r="I64" s="234"/>
      <c r="J64" s="4"/>
      <c r="K64" s="4"/>
    </row>
    <row r="65" spans="1:11" x14ac:dyDescent="0.25">
      <c r="A65" s="257" t="s">
        <v>269</v>
      </c>
      <c r="B65" s="222">
        <v>0.6</v>
      </c>
      <c r="C65" s="222">
        <f t="shared" si="12"/>
        <v>0.21</v>
      </c>
      <c r="D65" s="217">
        <f t="shared" si="13"/>
        <v>31.799999999999997</v>
      </c>
      <c r="E65" s="267">
        <f t="shared" si="11"/>
        <v>0</v>
      </c>
      <c r="F65" s="223"/>
      <c r="G65" s="223"/>
      <c r="H65" s="223"/>
      <c r="I65" s="234"/>
      <c r="J65" s="4"/>
      <c r="K65" s="4"/>
    </row>
    <row r="66" spans="1:11" x14ac:dyDescent="0.25">
      <c r="A66" s="257" t="s">
        <v>270</v>
      </c>
      <c r="B66" s="222">
        <v>0.6</v>
      </c>
      <c r="C66" s="222">
        <f t="shared" si="12"/>
        <v>0.21</v>
      </c>
      <c r="D66" s="217">
        <f t="shared" si="13"/>
        <v>40.799999999999997</v>
      </c>
      <c r="E66" s="267">
        <f t="shared" si="11"/>
        <v>0</v>
      </c>
      <c r="F66" s="223"/>
      <c r="G66" s="223"/>
      <c r="H66" s="223"/>
      <c r="I66" s="234"/>
      <c r="J66" s="4"/>
      <c r="K66" s="4"/>
    </row>
    <row r="67" spans="1:11" x14ac:dyDescent="0.25">
      <c r="A67" s="257" t="s">
        <v>271</v>
      </c>
      <c r="B67" s="222">
        <v>0.6</v>
      </c>
      <c r="C67" s="222">
        <f t="shared" si="12"/>
        <v>0.21</v>
      </c>
      <c r="D67" s="217">
        <f t="shared" si="13"/>
        <v>48.6</v>
      </c>
      <c r="E67" s="267"/>
      <c r="F67" s="223"/>
      <c r="G67" s="223"/>
      <c r="H67" s="223"/>
      <c r="I67" s="234"/>
      <c r="J67" s="4"/>
      <c r="K67" s="4"/>
    </row>
    <row r="68" spans="1:11" x14ac:dyDescent="0.25">
      <c r="A68" s="257" t="s">
        <v>272</v>
      </c>
      <c r="B68" s="222">
        <v>0.6</v>
      </c>
      <c r="C68" s="222">
        <f t="shared" si="12"/>
        <v>0.21</v>
      </c>
      <c r="D68" s="217">
        <f t="shared" si="13"/>
        <v>55.8</v>
      </c>
      <c r="E68" s="267"/>
      <c r="F68" s="223"/>
      <c r="G68" s="223"/>
      <c r="H68" s="223"/>
      <c r="I68" s="234"/>
      <c r="J68" s="4"/>
      <c r="K68" s="4"/>
    </row>
    <row r="69" spans="1:11" ht="16.5" thickBot="1" x14ac:dyDescent="0.3">
      <c r="A69" s="258" t="s">
        <v>273</v>
      </c>
      <c r="B69" s="236">
        <v>0.6</v>
      </c>
      <c r="C69" s="236">
        <f t="shared" si="12"/>
        <v>0.21</v>
      </c>
      <c r="D69" s="219">
        <f t="shared" si="13"/>
        <v>76.2</v>
      </c>
      <c r="E69" s="268"/>
      <c r="F69" s="237"/>
      <c r="G69" s="237"/>
      <c r="H69" s="237"/>
      <c r="I69" s="238"/>
      <c r="J69" s="4"/>
      <c r="K69" s="4"/>
    </row>
    <row r="70" spans="1:11" x14ac:dyDescent="0.25">
      <c r="A70" s="256" t="s">
        <v>266</v>
      </c>
      <c r="B70" s="230">
        <v>0.5</v>
      </c>
      <c r="C70" s="230">
        <f>'1-Ore funzionamento'!AG12</f>
        <v>0.19</v>
      </c>
      <c r="D70" s="218">
        <f>D25*B70</f>
        <v>11.15</v>
      </c>
      <c r="E70" s="261">
        <f t="shared" ref="E70:E75" si="14">IF($B$103&lt;=$F$24,F70,IF(AND($B$103&gt;=$F$24,$B$103&lt;=$G$24),F70+(G70-F70)*($B$103-$F$24)/($G$24-$F$24),IF(AND($B$103&gt;=$G$24,$B$103&lt;=$H$24),G70+(H70-G70)*($B$103-$G$24)/($H$24-$G$24),IF(AND($B$103&gt;=$H$24,$B$103&lt;=$I$24),H70+(I70-H70)*($B$103-$H$24)/($I$24-$H$24),IF(AND($B$103&gt;=$I$24,$B$103&lt;=$J$24),I70+(J70-I70)*($B$103-$I$24)/($J$24-$I$24),IF(AND($B$103&gt;=$J$24,$B$103&lt;=$K$24),J70+(K70-J70)*($B$103-$J$24)/($K$24-$J$24),K70))))))</f>
        <v>0</v>
      </c>
      <c r="F70" s="226"/>
      <c r="G70" s="226"/>
      <c r="H70" s="226"/>
      <c r="I70" s="231"/>
      <c r="J70" s="9"/>
      <c r="K70" s="9"/>
    </row>
    <row r="71" spans="1:11" x14ac:dyDescent="0.25">
      <c r="A71" s="257" t="s">
        <v>255</v>
      </c>
      <c r="B71" s="222">
        <v>0.5</v>
      </c>
      <c r="C71" s="222">
        <f t="shared" ref="C71:C78" si="15">C70</f>
        <v>0.19</v>
      </c>
      <c r="D71" s="217">
        <f t="shared" ref="D71:D78" si="16">D26*B71</f>
        <v>13.3</v>
      </c>
      <c r="E71" s="267">
        <f t="shared" si="14"/>
        <v>0</v>
      </c>
      <c r="F71" s="221"/>
      <c r="G71" s="221"/>
      <c r="H71" s="221"/>
      <c r="I71" s="233"/>
      <c r="J71" s="9"/>
      <c r="K71" s="9"/>
    </row>
    <row r="72" spans="1:11" x14ac:dyDescent="0.25">
      <c r="A72" s="257" t="s">
        <v>267</v>
      </c>
      <c r="B72" s="222">
        <v>0.5</v>
      </c>
      <c r="C72" s="222">
        <f t="shared" si="15"/>
        <v>0.19</v>
      </c>
      <c r="D72" s="217">
        <f t="shared" si="16"/>
        <v>16.5</v>
      </c>
      <c r="E72" s="267">
        <f t="shared" si="14"/>
        <v>0</v>
      </c>
      <c r="F72" s="223"/>
      <c r="G72" s="223"/>
      <c r="H72" s="223"/>
      <c r="I72" s="234"/>
      <c r="J72" s="4"/>
      <c r="K72" s="4"/>
    </row>
    <row r="73" spans="1:11" x14ac:dyDescent="0.25">
      <c r="A73" s="257" t="s">
        <v>268</v>
      </c>
      <c r="B73" s="222">
        <v>0.5</v>
      </c>
      <c r="C73" s="222">
        <f t="shared" si="15"/>
        <v>0.19</v>
      </c>
      <c r="D73" s="217">
        <f t="shared" si="16"/>
        <v>21.5</v>
      </c>
      <c r="E73" s="267">
        <f t="shared" si="14"/>
        <v>0</v>
      </c>
      <c r="F73" s="223"/>
      <c r="G73" s="223"/>
      <c r="H73" s="223"/>
      <c r="I73" s="234"/>
      <c r="J73" s="4"/>
      <c r="K73" s="4"/>
    </row>
    <row r="74" spans="1:11" x14ac:dyDescent="0.25">
      <c r="A74" s="257" t="s">
        <v>269</v>
      </c>
      <c r="B74" s="222">
        <v>0.5</v>
      </c>
      <c r="C74" s="222">
        <f t="shared" si="15"/>
        <v>0.19</v>
      </c>
      <c r="D74" s="217">
        <f t="shared" si="16"/>
        <v>26.5</v>
      </c>
      <c r="E74" s="267">
        <f t="shared" si="14"/>
        <v>0</v>
      </c>
      <c r="F74" s="223"/>
      <c r="G74" s="223"/>
      <c r="H74" s="223"/>
      <c r="I74" s="234"/>
      <c r="J74" s="4"/>
      <c r="K74" s="4"/>
    </row>
    <row r="75" spans="1:11" x14ac:dyDescent="0.25">
      <c r="A75" s="257" t="s">
        <v>270</v>
      </c>
      <c r="B75" s="222">
        <v>0.5</v>
      </c>
      <c r="C75" s="222">
        <f t="shared" si="15"/>
        <v>0.19</v>
      </c>
      <c r="D75" s="217">
        <f t="shared" si="16"/>
        <v>34</v>
      </c>
      <c r="E75" s="267">
        <f t="shared" si="14"/>
        <v>0</v>
      </c>
      <c r="F75" s="223"/>
      <c r="G75" s="223"/>
      <c r="H75" s="223"/>
      <c r="I75" s="234"/>
      <c r="J75" s="4"/>
      <c r="K75" s="4"/>
    </row>
    <row r="76" spans="1:11" x14ac:dyDescent="0.25">
      <c r="A76" s="257" t="s">
        <v>271</v>
      </c>
      <c r="B76" s="222">
        <v>0.5</v>
      </c>
      <c r="C76" s="222">
        <f t="shared" si="15"/>
        <v>0.19</v>
      </c>
      <c r="D76" s="217">
        <f t="shared" si="16"/>
        <v>40.5</v>
      </c>
      <c r="E76" s="267"/>
      <c r="F76" s="223"/>
      <c r="G76" s="223"/>
      <c r="H76" s="223"/>
      <c r="I76" s="234"/>
      <c r="J76" s="4"/>
      <c r="K76" s="4"/>
    </row>
    <row r="77" spans="1:11" x14ac:dyDescent="0.25">
      <c r="A77" s="257" t="s">
        <v>272</v>
      </c>
      <c r="B77" s="222">
        <v>0.5</v>
      </c>
      <c r="C77" s="222">
        <f t="shared" si="15"/>
        <v>0.19</v>
      </c>
      <c r="D77" s="217">
        <f t="shared" si="16"/>
        <v>46.5</v>
      </c>
      <c r="E77" s="267"/>
      <c r="F77" s="223"/>
      <c r="G77" s="223"/>
      <c r="H77" s="223"/>
      <c r="I77" s="234"/>
      <c r="J77" s="4"/>
      <c r="K77" s="4"/>
    </row>
    <row r="78" spans="1:11" ht="16.5" thickBot="1" x14ac:dyDescent="0.3">
      <c r="A78" s="258" t="s">
        <v>273</v>
      </c>
      <c r="B78" s="236">
        <v>0.5</v>
      </c>
      <c r="C78" s="236">
        <f t="shared" si="15"/>
        <v>0.19</v>
      </c>
      <c r="D78" s="219">
        <f t="shared" si="16"/>
        <v>63.5</v>
      </c>
      <c r="E78" s="268"/>
      <c r="F78" s="237"/>
      <c r="G78" s="237"/>
      <c r="H78" s="237"/>
      <c r="I78" s="238"/>
      <c r="J78" s="4"/>
      <c r="K78" s="4"/>
    </row>
    <row r="79" spans="1:11" x14ac:dyDescent="0.25">
      <c r="A79" s="256" t="s">
        <v>266</v>
      </c>
      <c r="B79" s="230">
        <v>0.4</v>
      </c>
      <c r="C79" s="230">
        <f>'1-Ore funzionamento'!AG13</f>
        <v>0.09</v>
      </c>
      <c r="D79" s="218">
        <f>D25*B79</f>
        <v>8.92</v>
      </c>
      <c r="E79" s="261">
        <f t="shared" ref="E79:E84" si="17">IF($B$103&lt;=$F$24,F79,IF(AND($B$103&gt;=$F$24,$B$103&lt;=$G$24),F79+(G79-F79)*($B$103-$F$24)/($G$24-$F$24),IF(AND($B$103&gt;=$G$24,$B$103&lt;=$H$24),G79+(H79-G79)*($B$103-$G$24)/($H$24-$G$24),IF(AND($B$103&gt;=$H$24,$B$103&lt;=$I$24),H79+(I79-H79)*($B$103-$H$24)/($I$24-$H$24),IF(AND($B$103&gt;=$I$24,$B$103&lt;=$J$24),I79+(J79-I79)*($B$103-$I$24)/($J$24-$I$24),IF(AND($B$103&gt;=$J$24,$B$103&lt;=$K$24),J79+(K79-J79)*($B$103-$J$24)/($K$24-$J$24),K79))))))</f>
        <v>0</v>
      </c>
      <c r="F79" s="226"/>
      <c r="G79" s="226"/>
      <c r="H79" s="226"/>
      <c r="I79" s="231"/>
      <c r="J79" s="9"/>
      <c r="K79" s="9"/>
    </row>
    <row r="80" spans="1:11" x14ac:dyDescent="0.25">
      <c r="A80" s="257" t="s">
        <v>255</v>
      </c>
      <c r="B80" s="222">
        <v>0.4</v>
      </c>
      <c r="C80" s="222">
        <f t="shared" ref="C80:C87" si="18">C79</f>
        <v>0.09</v>
      </c>
      <c r="D80" s="217">
        <f t="shared" ref="D80:D87" si="19">D26*B80</f>
        <v>10.64</v>
      </c>
      <c r="E80" s="267">
        <f t="shared" si="17"/>
        <v>0</v>
      </c>
      <c r="F80" s="221"/>
      <c r="G80" s="221"/>
      <c r="H80" s="221"/>
      <c r="I80" s="233"/>
      <c r="J80" s="9"/>
      <c r="K80" s="9"/>
    </row>
    <row r="81" spans="1:11" x14ac:dyDescent="0.25">
      <c r="A81" s="257" t="s">
        <v>267</v>
      </c>
      <c r="B81" s="222">
        <v>0.4</v>
      </c>
      <c r="C81" s="222">
        <f t="shared" si="18"/>
        <v>0.09</v>
      </c>
      <c r="D81" s="217">
        <f t="shared" si="19"/>
        <v>13.200000000000001</v>
      </c>
      <c r="E81" s="267">
        <f t="shared" si="17"/>
        <v>0</v>
      </c>
      <c r="F81" s="221"/>
      <c r="G81" s="221"/>
      <c r="H81" s="221"/>
      <c r="I81" s="233"/>
      <c r="J81" s="9"/>
      <c r="K81" s="9"/>
    </row>
    <row r="82" spans="1:11" x14ac:dyDescent="0.25">
      <c r="A82" s="257" t="s">
        <v>268</v>
      </c>
      <c r="B82" s="222">
        <v>0.4</v>
      </c>
      <c r="C82" s="222">
        <f t="shared" si="18"/>
        <v>0.09</v>
      </c>
      <c r="D82" s="217">
        <f t="shared" si="19"/>
        <v>17.2</v>
      </c>
      <c r="E82" s="267">
        <f t="shared" si="17"/>
        <v>0</v>
      </c>
      <c r="F82" s="221"/>
      <c r="G82" s="221"/>
      <c r="H82" s="221"/>
      <c r="I82" s="233"/>
      <c r="J82" s="9"/>
      <c r="K82" s="9"/>
    </row>
    <row r="83" spans="1:11" x14ac:dyDescent="0.25">
      <c r="A83" s="257" t="s">
        <v>269</v>
      </c>
      <c r="B83" s="222">
        <v>0.4</v>
      </c>
      <c r="C83" s="222">
        <f t="shared" si="18"/>
        <v>0.09</v>
      </c>
      <c r="D83" s="217">
        <f t="shared" si="19"/>
        <v>21.200000000000003</v>
      </c>
      <c r="E83" s="267">
        <f t="shared" si="17"/>
        <v>0</v>
      </c>
      <c r="F83" s="221"/>
      <c r="G83" s="221"/>
      <c r="H83" s="221"/>
      <c r="I83" s="233"/>
      <c r="J83" s="9"/>
      <c r="K83" s="9"/>
    </row>
    <row r="84" spans="1:11" x14ac:dyDescent="0.25">
      <c r="A84" s="257" t="s">
        <v>270</v>
      </c>
      <c r="B84" s="222">
        <v>0.4</v>
      </c>
      <c r="C84" s="222">
        <f t="shared" si="18"/>
        <v>0.09</v>
      </c>
      <c r="D84" s="217">
        <f t="shared" si="19"/>
        <v>27.200000000000003</v>
      </c>
      <c r="E84" s="267">
        <f t="shared" si="17"/>
        <v>0</v>
      </c>
      <c r="F84" s="221"/>
      <c r="G84" s="221"/>
      <c r="H84" s="221"/>
      <c r="I84" s="233"/>
      <c r="J84" s="9"/>
      <c r="K84" s="9"/>
    </row>
    <row r="85" spans="1:11" x14ac:dyDescent="0.25">
      <c r="A85" s="257" t="s">
        <v>271</v>
      </c>
      <c r="B85" s="222">
        <v>0.4</v>
      </c>
      <c r="C85" s="222">
        <f t="shared" si="18"/>
        <v>0.09</v>
      </c>
      <c r="D85" s="217">
        <f t="shared" si="19"/>
        <v>32.4</v>
      </c>
      <c r="E85" s="267"/>
      <c r="F85" s="221"/>
      <c r="G85" s="221"/>
      <c r="H85" s="221"/>
      <c r="I85" s="233"/>
      <c r="J85" s="9"/>
      <c r="K85" s="9"/>
    </row>
    <row r="86" spans="1:11" x14ac:dyDescent="0.25">
      <c r="A86" s="257" t="s">
        <v>272</v>
      </c>
      <c r="B86" s="222">
        <v>0.4</v>
      </c>
      <c r="C86" s="222">
        <f t="shared" si="18"/>
        <v>0.09</v>
      </c>
      <c r="D86" s="217">
        <f t="shared" si="19"/>
        <v>37.200000000000003</v>
      </c>
      <c r="E86" s="267"/>
      <c r="F86" s="223"/>
      <c r="G86" s="223"/>
      <c r="H86" s="223"/>
      <c r="I86" s="234"/>
      <c r="J86" s="4"/>
      <c r="K86" s="4"/>
    </row>
    <row r="87" spans="1:11" ht="16.5" thickBot="1" x14ac:dyDescent="0.3">
      <c r="A87" s="258" t="s">
        <v>273</v>
      </c>
      <c r="B87" s="236">
        <v>0.4</v>
      </c>
      <c r="C87" s="236">
        <f t="shared" si="18"/>
        <v>0.09</v>
      </c>
      <c r="D87" s="219">
        <f t="shared" si="19"/>
        <v>50.800000000000004</v>
      </c>
      <c r="E87" s="268"/>
      <c r="F87" s="237"/>
      <c r="G87" s="237"/>
      <c r="H87" s="237"/>
      <c r="I87" s="238"/>
      <c r="J87" s="4"/>
      <c r="K87" s="4"/>
    </row>
    <row r="88" spans="1:11" x14ac:dyDescent="0.25">
      <c r="A88" s="256" t="s">
        <v>266</v>
      </c>
      <c r="B88" s="230">
        <v>0.3</v>
      </c>
      <c r="C88" s="230">
        <f>'1-Ore funzionamento'!AG14</f>
        <v>0.04</v>
      </c>
      <c r="D88" s="218">
        <f>D25*B88</f>
        <v>6.69</v>
      </c>
      <c r="E88" s="261">
        <f t="shared" ref="E88:E93" si="20">IF($B$103&lt;=$F$24,F88,IF(AND($B$103&gt;=$F$24,$B$103&lt;=$G$24),F88+(G88-F88)*($B$103-$F$24)/($G$24-$F$24),IF(AND($B$103&gt;=$G$24,$B$103&lt;=$H$24),G88+(H88-G88)*($B$103-$G$24)/($H$24-$G$24),IF(AND($B$103&gt;=$H$24,$B$103&lt;=$I$24),H88+(I88-H88)*($B$103-$H$24)/($I$24-$H$24),IF(AND($B$103&gt;=$I$24,$B$103&lt;=$J$24),I88+(J88-I88)*($B$103-$I$24)/($J$24-$I$24),IF(AND($B$103&gt;=$J$24,$B$103&lt;=$K$24),J88+(K88-J88)*($B$103-$J$24)/($K$24-$J$24),K88))))))</f>
        <v>0</v>
      </c>
      <c r="F88" s="243"/>
      <c r="G88" s="243"/>
      <c r="H88" s="243"/>
      <c r="I88" s="244"/>
      <c r="J88" s="4"/>
      <c r="K88" s="4"/>
    </row>
    <row r="89" spans="1:11" x14ac:dyDescent="0.25">
      <c r="A89" s="257" t="s">
        <v>255</v>
      </c>
      <c r="B89" s="222">
        <v>0.3</v>
      </c>
      <c r="C89" s="222">
        <f t="shared" ref="C89:C96" si="21">C88</f>
        <v>0.04</v>
      </c>
      <c r="D89" s="217">
        <f t="shared" ref="D89:D96" si="22">D26*B89</f>
        <v>7.98</v>
      </c>
      <c r="E89" s="267">
        <f t="shared" si="20"/>
        <v>0</v>
      </c>
      <c r="F89" s="223"/>
      <c r="G89" s="223"/>
      <c r="H89" s="223"/>
      <c r="I89" s="234"/>
      <c r="J89" s="4"/>
      <c r="K89" s="4"/>
    </row>
    <row r="90" spans="1:11" x14ac:dyDescent="0.25">
      <c r="A90" s="257" t="s">
        <v>267</v>
      </c>
      <c r="B90" s="222">
        <v>0.3</v>
      </c>
      <c r="C90" s="222">
        <f t="shared" si="21"/>
        <v>0.04</v>
      </c>
      <c r="D90" s="217">
        <f t="shared" si="22"/>
        <v>9.9</v>
      </c>
      <c r="E90" s="267">
        <f t="shared" si="20"/>
        <v>0</v>
      </c>
      <c r="F90" s="223"/>
      <c r="G90" s="223"/>
      <c r="H90" s="223"/>
      <c r="I90" s="234"/>
      <c r="J90" s="4"/>
      <c r="K90" s="4"/>
    </row>
    <row r="91" spans="1:11" x14ac:dyDescent="0.25">
      <c r="A91" s="257" t="s">
        <v>268</v>
      </c>
      <c r="B91" s="222">
        <v>0.3</v>
      </c>
      <c r="C91" s="222">
        <f t="shared" si="21"/>
        <v>0.04</v>
      </c>
      <c r="D91" s="217">
        <f t="shared" si="22"/>
        <v>12.9</v>
      </c>
      <c r="E91" s="267">
        <f t="shared" si="20"/>
        <v>0</v>
      </c>
      <c r="F91" s="223"/>
      <c r="G91" s="223"/>
      <c r="H91" s="223"/>
      <c r="I91" s="234"/>
      <c r="J91" s="4"/>
      <c r="K91" s="4"/>
    </row>
    <row r="92" spans="1:11" x14ac:dyDescent="0.25">
      <c r="A92" s="257" t="s">
        <v>269</v>
      </c>
      <c r="B92" s="222">
        <v>0.3</v>
      </c>
      <c r="C92" s="222">
        <f t="shared" si="21"/>
        <v>0.04</v>
      </c>
      <c r="D92" s="217">
        <f t="shared" si="22"/>
        <v>15.899999999999999</v>
      </c>
      <c r="E92" s="267">
        <f t="shared" si="20"/>
        <v>0</v>
      </c>
      <c r="F92" s="223"/>
      <c r="G92" s="223"/>
      <c r="H92" s="223"/>
      <c r="I92" s="234"/>
      <c r="J92" s="4"/>
      <c r="K92" s="4"/>
    </row>
    <row r="93" spans="1:11" x14ac:dyDescent="0.25">
      <c r="A93" s="257" t="s">
        <v>270</v>
      </c>
      <c r="B93" s="222">
        <v>0.3</v>
      </c>
      <c r="C93" s="222">
        <f t="shared" si="21"/>
        <v>0.04</v>
      </c>
      <c r="D93" s="217">
        <f t="shared" si="22"/>
        <v>20.399999999999999</v>
      </c>
      <c r="E93" s="267">
        <f t="shared" si="20"/>
        <v>0</v>
      </c>
      <c r="F93" s="223"/>
      <c r="G93" s="223"/>
      <c r="H93" s="223"/>
      <c r="I93" s="234"/>
      <c r="J93" s="4"/>
      <c r="K93" s="4"/>
    </row>
    <row r="94" spans="1:11" x14ac:dyDescent="0.25">
      <c r="A94" s="257" t="s">
        <v>271</v>
      </c>
      <c r="B94" s="222">
        <v>0.3</v>
      </c>
      <c r="C94" s="222">
        <f t="shared" si="21"/>
        <v>0.04</v>
      </c>
      <c r="D94" s="217">
        <f t="shared" si="22"/>
        <v>24.3</v>
      </c>
      <c r="E94" s="267"/>
      <c r="F94" s="223"/>
      <c r="G94" s="223"/>
      <c r="H94" s="223"/>
      <c r="I94" s="234"/>
      <c r="J94" s="4"/>
      <c r="K94" s="4"/>
    </row>
    <row r="95" spans="1:11" x14ac:dyDescent="0.25">
      <c r="A95" s="257" t="s">
        <v>272</v>
      </c>
      <c r="B95" s="222">
        <v>0.3</v>
      </c>
      <c r="C95" s="222">
        <f t="shared" si="21"/>
        <v>0.04</v>
      </c>
      <c r="D95" s="217">
        <f t="shared" si="22"/>
        <v>27.9</v>
      </c>
      <c r="E95" s="267"/>
      <c r="F95" s="223"/>
      <c r="G95" s="223"/>
      <c r="H95" s="223"/>
      <c r="I95" s="234"/>
      <c r="J95" s="4"/>
      <c r="K95" s="4"/>
    </row>
    <row r="96" spans="1:11" ht="16.5" thickBot="1" x14ac:dyDescent="0.3">
      <c r="A96" s="258" t="s">
        <v>273</v>
      </c>
      <c r="B96" s="236">
        <v>0.3</v>
      </c>
      <c r="C96" s="236">
        <f t="shared" si="21"/>
        <v>0.04</v>
      </c>
      <c r="D96" s="219">
        <f t="shared" si="22"/>
        <v>38.1</v>
      </c>
      <c r="E96" s="268"/>
      <c r="F96" s="237"/>
      <c r="G96" s="237"/>
      <c r="H96" s="237"/>
      <c r="I96" s="238"/>
      <c r="J96" s="4"/>
      <c r="K96" s="4"/>
    </row>
    <row r="97" spans="1:11" x14ac:dyDescent="0.25">
      <c r="C97" s="6"/>
      <c r="J97" s="6"/>
      <c r="K97" s="6"/>
    </row>
    <row r="98" spans="1:11" ht="16.5" thickBot="1" x14ac:dyDescent="0.3">
      <c r="J98" s="6"/>
      <c r="K98" s="6"/>
    </row>
    <row r="99" spans="1:11" x14ac:dyDescent="0.25">
      <c r="A99" s="1208" t="s">
        <v>69</v>
      </c>
      <c r="B99" s="1209"/>
      <c r="C99" s="1209"/>
      <c r="D99" s="1210"/>
      <c r="J99" s="6"/>
      <c r="K99" s="6"/>
    </row>
    <row r="100" spans="1:11" x14ac:dyDescent="0.25">
      <c r="A100" s="18"/>
      <c r="B100" s="9" t="s">
        <v>70</v>
      </c>
      <c r="C100" s="16"/>
      <c r="D100" s="10"/>
    </row>
    <row r="101" spans="1:11" x14ac:dyDescent="0.25">
      <c r="A101" s="18"/>
      <c r="B101" s="9"/>
      <c r="C101" s="19" t="s">
        <v>59</v>
      </c>
      <c r="D101" s="20">
        <f>('2-Dati generali-Cond. utilizzo'!$D$19-20)/7</f>
        <v>-2.8571428571428572</v>
      </c>
    </row>
    <row r="102" spans="1:11" x14ac:dyDescent="0.25">
      <c r="A102" s="18"/>
      <c r="B102" s="9">
        <v>7</v>
      </c>
      <c r="C102" s="16"/>
      <c r="D102" s="10"/>
    </row>
    <row r="103" spans="1:11" x14ac:dyDescent="0.25">
      <c r="A103" s="21" t="s">
        <v>66</v>
      </c>
      <c r="B103" s="22">
        <f>'2-Dati generali-Cond. utilizzo'!D19</f>
        <v>0</v>
      </c>
      <c r="C103" s="17">
        <v>1</v>
      </c>
      <c r="D103" s="10"/>
    </row>
    <row r="104" spans="1:11" x14ac:dyDescent="0.25">
      <c r="A104" s="21" t="s">
        <v>60</v>
      </c>
      <c r="B104" s="22">
        <f>B103-$D$101</f>
        <v>2.8571428571428572</v>
      </c>
      <c r="C104" s="17">
        <v>0.9</v>
      </c>
      <c r="D104" s="10"/>
    </row>
    <row r="105" spans="1:11" x14ac:dyDescent="0.25">
      <c r="A105" s="21" t="s">
        <v>61</v>
      </c>
      <c r="B105" s="22">
        <f t="shared" ref="B105:B110" si="23">B104-$D$101</f>
        <v>5.7142857142857144</v>
      </c>
      <c r="C105" s="17">
        <v>0.8</v>
      </c>
      <c r="D105" s="10"/>
    </row>
    <row r="106" spans="1:11" x14ac:dyDescent="0.25">
      <c r="A106" s="21" t="s">
        <v>62</v>
      </c>
      <c r="B106" s="22">
        <f t="shared" si="23"/>
        <v>8.5714285714285712</v>
      </c>
      <c r="C106" s="17">
        <v>0.7</v>
      </c>
      <c r="D106" s="10"/>
    </row>
    <row r="107" spans="1:11" x14ac:dyDescent="0.25">
      <c r="A107" s="21" t="s">
        <v>63</v>
      </c>
      <c r="B107" s="22">
        <f t="shared" si="23"/>
        <v>11.428571428571429</v>
      </c>
      <c r="C107" s="17">
        <v>0.6</v>
      </c>
      <c r="D107" s="10"/>
    </row>
    <row r="108" spans="1:11" x14ac:dyDescent="0.25">
      <c r="A108" s="21" t="s">
        <v>64</v>
      </c>
      <c r="B108" s="22">
        <f t="shared" si="23"/>
        <v>14.285714285714286</v>
      </c>
      <c r="C108" s="17">
        <v>0.5</v>
      </c>
      <c r="D108" s="10"/>
    </row>
    <row r="109" spans="1:11" x14ac:dyDescent="0.25">
      <c r="A109" s="21" t="s">
        <v>65</v>
      </c>
      <c r="B109" s="22">
        <f t="shared" si="23"/>
        <v>17.142857142857142</v>
      </c>
      <c r="C109" s="17">
        <v>0.4</v>
      </c>
      <c r="D109" s="10"/>
    </row>
    <row r="110" spans="1:11" ht="16.5" thickBot="1" x14ac:dyDescent="0.3">
      <c r="A110" s="23" t="s">
        <v>67</v>
      </c>
      <c r="B110" s="22">
        <f t="shared" si="23"/>
        <v>20</v>
      </c>
      <c r="C110" s="14">
        <v>0.3</v>
      </c>
      <c r="D110" s="26"/>
    </row>
    <row r="111" spans="1:11" x14ac:dyDescent="0.25">
      <c r="B111" s="30"/>
    </row>
  </sheetData>
  <mergeCells count="11">
    <mergeCell ref="A13:B13"/>
    <mergeCell ref="A14:B14"/>
    <mergeCell ref="A15:B15"/>
    <mergeCell ref="A16:B16"/>
    <mergeCell ref="F23:I23"/>
    <mergeCell ref="A17:B17"/>
    <mergeCell ref="A18:B18"/>
    <mergeCell ref="A99:D99"/>
    <mergeCell ref="A19:B19"/>
    <mergeCell ref="A20:B20"/>
    <mergeCell ref="A21:B21"/>
  </mergeCells>
  <phoneticPr fontId="7" type="noConversion"/>
  <pageMargins left="0.75" right="0.75" top="1" bottom="1" header="0.5" footer="0.5"/>
  <headerFooter alignWithMargins="0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B2:M80"/>
  <sheetViews>
    <sheetView workbookViewId="0">
      <selection activeCell="M3" sqref="M3"/>
    </sheetView>
  </sheetViews>
  <sheetFormatPr defaultRowHeight="15" customHeight="1" x14ac:dyDescent="0.25"/>
  <cols>
    <col min="1" max="1" width="1.5" style="95" customWidth="1"/>
    <col min="2" max="2" width="35.625" style="96" customWidth="1"/>
    <col min="3" max="13" width="11.125" style="46" customWidth="1"/>
    <col min="14" max="16384" width="9" style="95"/>
  </cols>
  <sheetData>
    <row r="2" spans="2:13" ht="30" customHeight="1" x14ac:dyDescent="0.25"/>
    <row r="4" spans="2:13" ht="15" customHeight="1" x14ac:dyDescent="0.25">
      <c r="B4" s="45" t="s">
        <v>82</v>
      </c>
    </row>
    <row r="5" spans="2:13" s="48" customFormat="1" ht="15" customHeight="1" x14ac:dyDescent="0.25">
      <c r="B5" s="47" t="s">
        <v>83</v>
      </c>
      <c r="D5" s="97"/>
      <c r="E5" s="98"/>
      <c r="F5" s="99"/>
      <c r="G5" s="99"/>
      <c r="H5" s="99"/>
      <c r="I5" s="99"/>
      <c r="J5" s="99"/>
      <c r="K5" s="99"/>
      <c r="L5" s="99"/>
      <c r="M5" s="99"/>
    </row>
    <row r="6" spans="2:13" s="48" customFormat="1" ht="15" customHeight="1" x14ac:dyDescent="0.25">
      <c r="B6" s="47" t="s">
        <v>84</v>
      </c>
      <c r="D6" s="97"/>
      <c r="E6" s="98"/>
      <c r="F6" s="99"/>
      <c r="G6" s="99"/>
      <c r="H6" s="99"/>
      <c r="I6" s="99"/>
      <c r="J6" s="99"/>
      <c r="K6" s="99"/>
      <c r="L6" s="99"/>
      <c r="M6" s="99"/>
    </row>
    <row r="7" spans="2:13" s="48" customFormat="1" ht="15" customHeight="1" x14ac:dyDescent="0.25">
      <c r="B7" s="47" t="s">
        <v>85</v>
      </c>
      <c r="D7" s="97"/>
      <c r="E7" s="98"/>
      <c r="F7" s="99"/>
      <c r="G7" s="99"/>
      <c r="H7" s="99"/>
      <c r="I7" s="99"/>
      <c r="J7" s="99"/>
      <c r="K7" s="99"/>
      <c r="L7" s="99"/>
      <c r="M7" s="99"/>
    </row>
    <row r="8" spans="2:13" ht="15" customHeight="1" x14ac:dyDescent="0.25">
      <c r="B8" s="49" t="s">
        <v>86</v>
      </c>
      <c r="C8" s="50">
        <v>1</v>
      </c>
    </row>
    <row r="9" spans="2:13" ht="9.9499999999999993" customHeight="1" x14ac:dyDescent="0.25">
      <c r="B9" s="100"/>
      <c r="C9" s="101"/>
    </row>
    <row r="10" spans="2:13" ht="15" customHeight="1" x14ac:dyDescent="0.25">
      <c r="B10" s="102" t="s">
        <v>121</v>
      </c>
      <c r="C10" s="103">
        <f>'Lea. fin. 5 Y'!H5</f>
        <v>0</v>
      </c>
      <c r="D10" s="103">
        <f>C10</f>
        <v>0</v>
      </c>
      <c r="E10" s="103">
        <f>D10</f>
        <v>0</v>
      </c>
      <c r="F10" s="103">
        <f>E10</f>
        <v>0</v>
      </c>
      <c r="G10" s="103">
        <f>F10</f>
        <v>0</v>
      </c>
      <c r="H10" s="103">
        <f>G10</f>
        <v>0</v>
      </c>
      <c r="K10" s="104" t="str">
        <f>IF('Lea. fin. 5 Y'!G74=0,"","AGGIORNARE PIANO LEASING 5 ANNI !")</f>
        <v>AGGIORNARE PIANO LEASING 5 ANNI !</v>
      </c>
    </row>
    <row r="11" spans="2:13" ht="15" customHeight="1" x14ac:dyDescent="0.25">
      <c r="B11" s="105" t="s">
        <v>116</v>
      </c>
      <c r="C11" s="103">
        <f>'Lea. fin. 5 Y'!E4</f>
        <v>-1000</v>
      </c>
      <c r="D11" s="103">
        <f>'Lea. fin. 5 Y'!G26</f>
        <v>-1047.5921799411246</v>
      </c>
      <c r="E11" s="103">
        <f>'Lea. fin. 5 Y'!G38</f>
        <v>-1097.5086933021594</v>
      </c>
      <c r="F11" s="103">
        <f>'Lea. fin. 5 Y'!G50</f>
        <v>-1149.8036687726217</v>
      </c>
      <c r="G11" s="103">
        <f>'Lea. fin. 5 Y'!G62</f>
        <v>-1204.7438083861716</v>
      </c>
      <c r="H11" s="103">
        <f>'Lea. fin. 5 Y'!G74</f>
        <v>1257</v>
      </c>
    </row>
    <row r="12" spans="2:13" ht="15" customHeight="1" x14ac:dyDescent="0.25">
      <c r="B12" s="102" t="s">
        <v>122</v>
      </c>
      <c r="C12" s="103">
        <f>'Lea. fin. 7 Y'!H5</f>
        <v>0</v>
      </c>
      <c r="D12" s="103">
        <f t="shared" ref="D12:J12" si="0">C12</f>
        <v>0</v>
      </c>
      <c r="E12" s="103">
        <f t="shared" si="0"/>
        <v>0</v>
      </c>
      <c r="F12" s="103">
        <f t="shared" si="0"/>
        <v>0</v>
      </c>
      <c r="G12" s="103">
        <f t="shared" si="0"/>
        <v>0</v>
      </c>
      <c r="H12" s="103">
        <f t="shared" si="0"/>
        <v>0</v>
      </c>
      <c r="I12" s="103">
        <f t="shared" si="0"/>
        <v>0</v>
      </c>
      <c r="J12" s="103">
        <f t="shared" si="0"/>
        <v>0</v>
      </c>
      <c r="K12" s="104" t="str">
        <f>IF('Lea. fin. 7 Y'!G98=0,"","AGGIORNARE PIANO LEASING 7 ANNI !")</f>
        <v>AGGIORNARE PIANO LEASING 7 ANNI !</v>
      </c>
    </row>
    <row r="13" spans="2:13" ht="15" customHeight="1" x14ac:dyDescent="0.25">
      <c r="B13" s="105" t="s">
        <v>116</v>
      </c>
      <c r="C13" s="103">
        <f>'Lea. fin. 7 Y'!E4</f>
        <v>-1000</v>
      </c>
      <c r="D13" s="103">
        <f>'Lea. fin. 7 Y'!G26</f>
        <v>-1047.5921799411246</v>
      </c>
      <c r="E13" s="103">
        <f>'Lea. fin. 7 Y'!G38</f>
        <v>-1097.5086933021594</v>
      </c>
      <c r="F13" s="103">
        <f>'Lea. fin. 7 Y'!G50</f>
        <v>-1149.8036687726217</v>
      </c>
      <c r="G13" s="103">
        <f>'Lea. fin. 7 Y'!G62</f>
        <v>-1204.7438083861716</v>
      </c>
      <c r="H13" s="103">
        <f>'Lea. fin. 7 Y'!G74</f>
        <v>-1262.148408725315</v>
      </c>
      <c r="I13" s="103">
        <f>'Lea. fin. 7 Y'!G86</f>
        <v>-1322.2882695548287</v>
      </c>
      <c r="J13" s="103">
        <f>'Lea. fin. 7 Y'!G98</f>
        <v>1380</v>
      </c>
    </row>
    <row r="14" spans="2:13" ht="9.9499999999999993" customHeight="1" x14ac:dyDescent="0.25">
      <c r="B14" s="106"/>
      <c r="C14" s="107"/>
      <c r="D14" s="107"/>
      <c r="E14" s="107"/>
      <c r="F14" s="107"/>
      <c r="G14" s="107"/>
      <c r="H14" s="107"/>
      <c r="I14" s="107"/>
      <c r="J14" s="107"/>
    </row>
    <row r="15" spans="2:13" s="108" customFormat="1" ht="15" customHeight="1" x14ac:dyDescent="0.25">
      <c r="B15" s="109" t="s">
        <v>123</v>
      </c>
      <c r="C15" s="110">
        <v>0</v>
      </c>
      <c r="D15" s="110">
        <f t="shared" ref="D15:M15" si="1">C15+1</f>
        <v>1</v>
      </c>
      <c r="E15" s="110">
        <f t="shared" si="1"/>
        <v>2</v>
      </c>
      <c r="F15" s="110">
        <f t="shared" si="1"/>
        <v>3</v>
      </c>
      <c r="G15" s="110">
        <f t="shared" si="1"/>
        <v>4</v>
      </c>
      <c r="H15" s="110">
        <f t="shared" si="1"/>
        <v>5</v>
      </c>
      <c r="I15" s="110">
        <f t="shared" si="1"/>
        <v>6</v>
      </c>
      <c r="J15" s="110">
        <f t="shared" si="1"/>
        <v>7</v>
      </c>
      <c r="K15" s="110">
        <f t="shared" si="1"/>
        <v>8</v>
      </c>
      <c r="L15" s="110">
        <f t="shared" si="1"/>
        <v>9</v>
      </c>
      <c r="M15" s="110">
        <f t="shared" si="1"/>
        <v>10</v>
      </c>
    </row>
    <row r="16" spans="2:13" s="53" customFormat="1" ht="17.45" customHeight="1" x14ac:dyDescent="0.25">
      <c r="B16" s="111" t="s">
        <v>124</v>
      </c>
      <c r="C16" s="112">
        <f>C17-C19</f>
        <v>0</v>
      </c>
      <c r="D16" s="113"/>
      <c r="E16" s="113"/>
      <c r="F16" s="113"/>
      <c r="G16" s="113"/>
      <c r="H16" s="113"/>
      <c r="I16" s="113"/>
      <c r="J16" s="113"/>
      <c r="K16" s="113"/>
      <c r="L16" s="113"/>
      <c r="M16" s="113"/>
    </row>
    <row r="17" spans="2:13" s="114" customFormat="1" ht="15" customHeight="1" x14ac:dyDescent="0.25">
      <c r="B17" s="105" t="s">
        <v>125</v>
      </c>
      <c r="C17" s="115">
        <f>IF('4-Costi sistemi'!G29="",0,-'4-Costi sistemi'!G29)</f>
        <v>0</v>
      </c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2:13" s="114" customFormat="1" ht="15" customHeight="1" x14ac:dyDescent="0.25">
      <c r="B18" s="117" t="s">
        <v>126</v>
      </c>
      <c r="C18" s="115">
        <f>IF(C17="",0,C17-C19)</f>
        <v>0</v>
      </c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2:13" s="114" customFormat="1" ht="15" customHeight="1" x14ac:dyDescent="0.25">
      <c r="B19" s="117" t="s">
        <v>127</v>
      </c>
      <c r="C19" s="115">
        <f>IF(C8=2,C11,IF(C8=3,C13,0))</f>
        <v>0</v>
      </c>
      <c r="D19" s="116"/>
      <c r="E19" s="116"/>
      <c r="F19" s="116"/>
      <c r="G19" s="116"/>
      <c r="H19" s="116"/>
      <c r="I19" s="116"/>
      <c r="J19" s="116"/>
      <c r="K19" s="116"/>
      <c r="L19" s="116"/>
      <c r="M19" s="116"/>
    </row>
    <row r="20" spans="2:13" s="114" customFormat="1" ht="15" customHeight="1" x14ac:dyDescent="0.25">
      <c r="B20" s="105" t="s">
        <v>128</v>
      </c>
      <c r="C20" s="115">
        <v>0</v>
      </c>
      <c r="D20" s="116">
        <f t="shared" ref="D20:J21" si="2">IF($C$8=2,D10,IF($C$8=3,D12,0))</f>
        <v>0</v>
      </c>
      <c r="E20" s="116">
        <f t="shared" si="2"/>
        <v>0</v>
      </c>
      <c r="F20" s="116">
        <f t="shared" si="2"/>
        <v>0</v>
      </c>
      <c r="G20" s="116">
        <f t="shared" si="2"/>
        <v>0</v>
      </c>
      <c r="H20" s="116">
        <f t="shared" si="2"/>
        <v>0</v>
      </c>
      <c r="I20" s="116">
        <f t="shared" si="2"/>
        <v>0</v>
      </c>
      <c r="J20" s="116">
        <f t="shared" si="2"/>
        <v>0</v>
      </c>
      <c r="K20" s="116"/>
      <c r="L20" s="116"/>
      <c r="M20" s="116"/>
    </row>
    <row r="21" spans="2:13" s="114" customFormat="1" ht="15" customHeight="1" x14ac:dyDescent="0.25">
      <c r="B21" s="105" t="s">
        <v>116</v>
      </c>
      <c r="C21" s="115">
        <f>C19</f>
        <v>0</v>
      </c>
      <c r="D21" s="116">
        <f t="shared" si="2"/>
        <v>0</v>
      </c>
      <c r="E21" s="116">
        <f t="shared" si="2"/>
        <v>0</v>
      </c>
      <c r="F21" s="116">
        <f t="shared" si="2"/>
        <v>0</v>
      </c>
      <c r="G21" s="116">
        <f t="shared" si="2"/>
        <v>0</v>
      </c>
      <c r="H21" s="116">
        <f t="shared" si="2"/>
        <v>0</v>
      </c>
      <c r="I21" s="116">
        <f t="shared" si="2"/>
        <v>0</v>
      </c>
      <c r="J21" s="116">
        <f t="shared" si="2"/>
        <v>0</v>
      </c>
      <c r="K21" s="116"/>
      <c r="L21" s="116"/>
      <c r="M21" s="116"/>
    </row>
    <row r="22" spans="2:13" s="114" customFormat="1" ht="15" customHeight="1" x14ac:dyDescent="0.25">
      <c r="B22" s="117" t="s">
        <v>129</v>
      </c>
      <c r="C22" s="115">
        <v>0</v>
      </c>
      <c r="D22" s="116">
        <f t="shared" ref="D22:J22" si="3">D20-D23</f>
        <v>0</v>
      </c>
      <c r="E22" s="116">
        <f t="shared" si="3"/>
        <v>0</v>
      </c>
      <c r="F22" s="116">
        <f t="shared" si="3"/>
        <v>0</v>
      </c>
      <c r="G22" s="116">
        <f t="shared" si="3"/>
        <v>0</v>
      </c>
      <c r="H22" s="116">
        <f t="shared" si="3"/>
        <v>0</v>
      </c>
      <c r="I22" s="116">
        <f t="shared" si="3"/>
        <v>0</v>
      </c>
      <c r="J22" s="116">
        <f t="shared" si="3"/>
        <v>0</v>
      </c>
      <c r="K22" s="116"/>
      <c r="L22" s="116"/>
      <c r="M22" s="116"/>
    </row>
    <row r="23" spans="2:13" s="114" customFormat="1" ht="15" customHeight="1" x14ac:dyDescent="0.25">
      <c r="B23" s="117" t="s">
        <v>130</v>
      </c>
      <c r="C23" s="115">
        <v>0</v>
      </c>
      <c r="D23" s="116">
        <f t="shared" ref="D23:J23" si="4">C21-D21</f>
        <v>0</v>
      </c>
      <c r="E23" s="116">
        <f t="shared" si="4"/>
        <v>0</v>
      </c>
      <c r="F23" s="116">
        <f t="shared" si="4"/>
        <v>0</v>
      </c>
      <c r="G23" s="116">
        <f t="shared" si="4"/>
        <v>0</v>
      </c>
      <c r="H23" s="116">
        <f t="shared" si="4"/>
        <v>0</v>
      </c>
      <c r="I23" s="116">
        <f t="shared" si="4"/>
        <v>0</v>
      </c>
      <c r="J23" s="116">
        <f t="shared" si="4"/>
        <v>0</v>
      </c>
      <c r="K23" s="116"/>
      <c r="L23" s="116"/>
      <c r="M23" s="116"/>
    </row>
    <row r="24" spans="2:13" s="114" customFormat="1" ht="9.9499999999999993" customHeight="1" x14ac:dyDescent="0.25">
      <c r="B24" s="118"/>
      <c r="C24" s="119"/>
      <c r="D24" s="120"/>
      <c r="E24" s="120"/>
      <c r="F24" s="120"/>
      <c r="G24" s="120"/>
      <c r="H24" s="120"/>
      <c r="I24" s="120"/>
      <c r="J24" s="120"/>
      <c r="K24" s="120"/>
      <c r="L24" s="120"/>
      <c r="M24" s="120"/>
    </row>
    <row r="25" spans="2:13" s="114" customFormat="1" ht="15" customHeight="1" x14ac:dyDescent="0.25">
      <c r="B25" s="105" t="s">
        <v>160</v>
      </c>
      <c r="C25" s="115">
        <f>'4-Costi sistemi'!G25</f>
        <v>0</v>
      </c>
      <c r="D25" s="116"/>
      <c r="E25" s="116"/>
      <c r="F25" s="116"/>
      <c r="G25" s="116"/>
      <c r="H25" s="116"/>
      <c r="I25" s="116"/>
      <c r="J25" s="116"/>
      <c r="K25" s="116"/>
      <c r="L25" s="116"/>
      <c r="M25" s="116"/>
    </row>
    <row r="26" spans="2:13" s="114" customFormat="1" ht="15" customHeight="1" x14ac:dyDescent="0.25">
      <c r="B26" s="105" t="s">
        <v>161</v>
      </c>
      <c r="C26" s="115">
        <f>'4-Costi sistemi'!G27</f>
        <v>0</v>
      </c>
      <c r="D26" s="116"/>
      <c r="E26" s="116"/>
      <c r="F26" s="116"/>
      <c r="G26" s="116"/>
      <c r="H26" s="116"/>
      <c r="I26" s="116"/>
      <c r="J26" s="116"/>
      <c r="K26" s="116"/>
      <c r="L26" s="116"/>
      <c r="M26" s="116"/>
    </row>
    <row r="27" spans="2:13" s="53" customFormat="1" ht="17.45" customHeight="1" x14ac:dyDescent="0.25">
      <c r="B27" s="111" t="s">
        <v>131</v>
      </c>
      <c r="C27" s="112">
        <f>C25+C26</f>
        <v>0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</row>
    <row r="28" spans="2:13" s="114" customFormat="1" ht="9.9499999999999993" customHeight="1" x14ac:dyDescent="0.25">
      <c r="B28" s="118"/>
      <c r="C28" s="119"/>
      <c r="D28" s="120"/>
      <c r="E28" s="120"/>
      <c r="F28" s="120"/>
      <c r="G28" s="120"/>
      <c r="H28" s="120"/>
      <c r="I28" s="120"/>
      <c r="J28" s="120"/>
      <c r="K28" s="120"/>
      <c r="L28" s="120"/>
      <c r="M28" s="120"/>
    </row>
    <row r="29" spans="2:13" s="114" customFormat="1" ht="15" customHeight="1" x14ac:dyDescent="0.25">
      <c r="B29" s="105" t="s">
        <v>162</v>
      </c>
      <c r="C29" s="121"/>
      <c r="D29" s="116">
        <f>'5-Costi di funziona.- pay back'!F26</f>
        <v>0</v>
      </c>
      <c r="E29" s="116">
        <f t="shared" ref="E29:M32" si="5">D29</f>
        <v>0</v>
      </c>
      <c r="F29" s="116">
        <f t="shared" si="5"/>
        <v>0</v>
      </c>
      <c r="G29" s="116">
        <f t="shared" si="5"/>
        <v>0</v>
      </c>
      <c r="H29" s="116">
        <f t="shared" si="5"/>
        <v>0</v>
      </c>
      <c r="I29" s="116">
        <f t="shared" si="5"/>
        <v>0</v>
      </c>
      <c r="J29" s="116">
        <f t="shared" si="5"/>
        <v>0</v>
      </c>
      <c r="K29" s="116">
        <f t="shared" si="5"/>
        <v>0</v>
      </c>
      <c r="L29" s="116">
        <f t="shared" si="5"/>
        <v>0</v>
      </c>
      <c r="M29" s="116">
        <f t="shared" si="5"/>
        <v>0</v>
      </c>
    </row>
    <row r="30" spans="2:13" s="114" customFormat="1" ht="15" customHeight="1" x14ac:dyDescent="0.25">
      <c r="B30" s="105" t="s">
        <v>132</v>
      </c>
      <c r="C30" s="121"/>
      <c r="D30" s="116">
        <f>'5-Costi di funziona.- pay back'!F37</f>
        <v>0</v>
      </c>
      <c r="E30" s="116">
        <f t="shared" ref="E30:M30" si="6">D30</f>
        <v>0</v>
      </c>
      <c r="F30" s="116">
        <f t="shared" si="6"/>
        <v>0</v>
      </c>
      <c r="G30" s="116">
        <f t="shared" si="6"/>
        <v>0</v>
      </c>
      <c r="H30" s="116">
        <f t="shared" si="6"/>
        <v>0</v>
      </c>
      <c r="I30" s="116">
        <f t="shared" si="6"/>
        <v>0</v>
      </c>
      <c r="J30" s="116">
        <f t="shared" si="6"/>
        <v>0</v>
      </c>
      <c r="K30" s="116">
        <f t="shared" si="6"/>
        <v>0</v>
      </c>
      <c r="L30" s="116">
        <f t="shared" si="6"/>
        <v>0</v>
      </c>
      <c r="M30" s="116">
        <f t="shared" si="6"/>
        <v>0</v>
      </c>
    </row>
    <row r="31" spans="2:13" s="114" customFormat="1" ht="15" customHeight="1" x14ac:dyDescent="0.25">
      <c r="B31" s="105" t="s">
        <v>166</v>
      </c>
      <c r="C31" s="121"/>
      <c r="D31" s="116">
        <f>'5-Costi di funziona.- pay back'!I9</f>
        <v>0</v>
      </c>
      <c r="E31" s="116">
        <f t="shared" si="5"/>
        <v>0</v>
      </c>
      <c r="F31" s="116">
        <f t="shared" si="5"/>
        <v>0</v>
      </c>
      <c r="G31" s="116">
        <f t="shared" si="5"/>
        <v>0</v>
      </c>
      <c r="H31" s="116">
        <f t="shared" si="5"/>
        <v>0</v>
      </c>
      <c r="I31" s="116">
        <f t="shared" si="5"/>
        <v>0</v>
      </c>
      <c r="J31" s="116">
        <f t="shared" si="5"/>
        <v>0</v>
      </c>
      <c r="K31" s="116">
        <f t="shared" si="5"/>
        <v>0</v>
      </c>
      <c r="L31" s="116">
        <f t="shared" si="5"/>
        <v>0</v>
      </c>
      <c r="M31" s="116">
        <f t="shared" si="5"/>
        <v>0</v>
      </c>
    </row>
    <row r="32" spans="2:13" s="114" customFormat="1" ht="15" customHeight="1" x14ac:dyDescent="0.25">
      <c r="B32" s="105" t="s">
        <v>133</v>
      </c>
      <c r="C32" s="121"/>
      <c r="D32" s="116">
        <f>'5-Costi di funziona.- pay back'!I11</f>
        <v>0</v>
      </c>
      <c r="E32" s="116">
        <f t="shared" si="5"/>
        <v>0</v>
      </c>
      <c r="F32" s="116">
        <f t="shared" si="5"/>
        <v>0</v>
      </c>
      <c r="G32" s="116">
        <f t="shared" si="5"/>
        <v>0</v>
      </c>
      <c r="H32" s="116">
        <f t="shared" si="5"/>
        <v>0</v>
      </c>
      <c r="I32" s="116">
        <f t="shared" si="5"/>
        <v>0</v>
      </c>
      <c r="J32" s="116">
        <f t="shared" si="5"/>
        <v>0</v>
      </c>
      <c r="K32" s="116">
        <f t="shared" si="5"/>
        <v>0</v>
      </c>
      <c r="L32" s="116">
        <f t="shared" si="5"/>
        <v>0</v>
      </c>
      <c r="M32" s="116">
        <f t="shared" si="5"/>
        <v>0</v>
      </c>
    </row>
    <row r="33" spans="2:13" s="53" customFormat="1" ht="17.45" customHeight="1" x14ac:dyDescent="0.25">
      <c r="B33" s="111" t="s">
        <v>134</v>
      </c>
      <c r="C33" s="112"/>
      <c r="D33" s="113">
        <f t="shared" ref="D33:M33" si="7">SUM(D29:D32)</f>
        <v>0</v>
      </c>
      <c r="E33" s="113">
        <f t="shared" si="7"/>
        <v>0</v>
      </c>
      <c r="F33" s="113">
        <f t="shared" si="7"/>
        <v>0</v>
      </c>
      <c r="G33" s="113">
        <f t="shared" si="7"/>
        <v>0</v>
      </c>
      <c r="H33" s="113">
        <f t="shared" si="7"/>
        <v>0</v>
      </c>
      <c r="I33" s="113">
        <f t="shared" si="7"/>
        <v>0</v>
      </c>
      <c r="J33" s="113">
        <f t="shared" si="7"/>
        <v>0</v>
      </c>
      <c r="K33" s="113">
        <f t="shared" si="7"/>
        <v>0</v>
      </c>
      <c r="L33" s="113">
        <f t="shared" si="7"/>
        <v>0</v>
      </c>
      <c r="M33" s="113">
        <f t="shared" si="7"/>
        <v>0</v>
      </c>
    </row>
    <row r="34" spans="2:13" s="114" customFormat="1" ht="9.9499999999999993" customHeight="1" x14ac:dyDescent="0.25">
      <c r="B34" s="118"/>
      <c r="C34" s="119"/>
      <c r="D34" s="120"/>
      <c r="E34" s="120"/>
      <c r="F34" s="120"/>
      <c r="G34" s="120"/>
      <c r="H34" s="120"/>
      <c r="I34" s="120"/>
      <c r="J34" s="120"/>
      <c r="K34" s="120"/>
      <c r="L34" s="120"/>
      <c r="M34" s="120"/>
    </row>
    <row r="35" spans="2:13" s="114" customFormat="1" ht="15" customHeight="1" x14ac:dyDescent="0.25">
      <c r="B35" s="105" t="s">
        <v>135</v>
      </c>
      <c r="C35" s="121"/>
      <c r="D35" s="116">
        <f>'5-Costi di funziona.- pay back'!K26-'5-Costi di funziona.- pay back'!F26+D29</f>
        <v>0</v>
      </c>
      <c r="E35" s="116">
        <f t="shared" ref="E35:M39" si="8">D35</f>
        <v>0</v>
      </c>
      <c r="F35" s="116">
        <f t="shared" si="8"/>
        <v>0</v>
      </c>
      <c r="G35" s="116">
        <f t="shared" si="8"/>
        <v>0</v>
      </c>
      <c r="H35" s="116">
        <f t="shared" si="8"/>
        <v>0</v>
      </c>
      <c r="I35" s="116">
        <f t="shared" si="8"/>
        <v>0</v>
      </c>
      <c r="J35" s="116">
        <f t="shared" si="8"/>
        <v>0</v>
      </c>
      <c r="K35" s="116">
        <f t="shared" si="8"/>
        <v>0</v>
      </c>
      <c r="L35" s="116">
        <f t="shared" si="8"/>
        <v>0</v>
      </c>
      <c r="M35" s="116">
        <f t="shared" si="8"/>
        <v>0</v>
      </c>
    </row>
    <row r="36" spans="2:13" s="114" customFormat="1" ht="15" customHeight="1" x14ac:dyDescent="0.25">
      <c r="B36" s="105" t="s">
        <v>164</v>
      </c>
      <c r="C36" s="121"/>
      <c r="D36" s="116">
        <f>IF('5-Costi di funziona.- pay back'!K37&lt;'5-Costi di funziona.- pay back'!F37,0,'5-Costi di funziona.- pay back'!K37-'5-Costi di funziona.- pay back'!F37)</f>
        <v>0</v>
      </c>
      <c r="E36" s="116">
        <f t="shared" si="8"/>
        <v>0</v>
      </c>
      <c r="F36" s="116">
        <f t="shared" si="8"/>
        <v>0</v>
      </c>
      <c r="G36" s="116">
        <f t="shared" si="8"/>
        <v>0</v>
      </c>
      <c r="H36" s="116">
        <f t="shared" si="8"/>
        <v>0</v>
      </c>
      <c r="I36" s="116">
        <f t="shared" si="8"/>
        <v>0</v>
      </c>
      <c r="J36" s="116">
        <f t="shared" si="8"/>
        <v>0</v>
      </c>
      <c r="K36" s="116">
        <f t="shared" si="8"/>
        <v>0</v>
      </c>
      <c r="L36" s="116">
        <f t="shared" si="8"/>
        <v>0</v>
      </c>
      <c r="M36" s="116">
        <f t="shared" si="8"/>
        <v>0</v>
      </c>
    </row>
    <row r="37" spans="2:13" s="114" customFormat="1" ht="15" customHeight="1" x14ac:dyDescent="0.25">
      <c r="B37" s="105" t="s">
        <v>165</v>
      </c>
      <c r="C37" s="121"/>
      <c r="D37" s="116">
        <f>IF('5-Costi di funziona.- pay back'!$F$61="",0,'5-Costi di funziona.- pay back'!$F$61-'5-Costi di funziona.- pay back'!$F$52)</f>
        <v>0</v>
      </c>
      <c r="E37" s="116">
        <f>D37</f>
        <v>0</v>
      </c>
      <c r="F37" s="116">
        <f t="shared" si="8"/>
        <v>0</v>
      </c>
      <c r="G37" s="116">
        <f t="shared" si="8"/>
        <v>0</v>
      </c>
      <c r="H37" s="116">
        <f t="shared" si="8"/>
        <v>0</v>
      </c>
      <c r="I37" s="116">
        <f t="shared" si="8"/>
        <v>0</v>
      </c>
      <c r="J37" s="116">
        <f t="shared" si="8"/>
        <v>0</v>
      </c>
      <c r="K37" s="116">
        <f t="shared" si="8"/>
        <v>0</v>
      </c>
      <c r="L37" s="116">
        <f t="shared" si="8"/>
        <v>0</v>
      </c>
      <c r="M37" s="116">
        <f t="shared" si="8"/>
        <v>0</v>
      </c>
    </row>
    <row r="38" spans="2:13" s="114" customFormat="1" ht="15" customHeight="1" x14ac:dyDescent="0.25">
      <c r="B38" s="105" t="s">
        <v>163</v>
      </c>
      <c r="C38" s="121"/>
      <c r="D38" s="116">
        <f>'5-Costi di funziona.- pay back'!$N$9-'5-Costi di funziona.- pay back'!$I$9+D31</f>
        <v>0</v>
      </c>
      <c r="E38" s="116">
        <f>D38</f>
        <v>0</v>
      </c>
      <c r="F38" s="116">
        <f t="shared" ref="F38:M38" si="9">E38</f>
        <v>0</v>
      </c>
      <c r="G38" s="116">
        <f t="shared" si="9"/>
        <v>0</v>
      </c>
      <c r="H38" s="116">
        <f t="shared" si="9"/>
        <v>0</v>
      </c>
      <c r="I38" s="116">
        <f t="shared" si="9"/>
        <v>0</v>
      </c>
      <c r="J38" s="116">
        <f t="shared" si="9"/>
        <v>0</v>
      </c>
      <c r="K38" s="116">
        <f t="shared" si="9"/>
        <v>0</v>
      </c>
      <c r="L38" s="116">
        <f t="shared" si="9"/>
        <v>0</v>
      </c>
      <c r="M38" s="116">
        <f t="shared" si="9"/>
        <v>0</v>
      </c>
    </row>
    <row r="39" spans="2:13" s="114" customFormat="1" ht="15" customHeight="1" x14ac:dyDescent="0.25">
      <c r="B39" s="105" t="s">
        <v>177</v>
      </c>
      <c r="C39" s="121"/>
      <c r="D39" s="116">
        <f>'5-Costi di funziona.- pay back'!N11</f>
        <v>0</v>
      </c>
      <c r="E39" s="116">
        <f>D39</f>
        <v>0</v>
      </c>
      <c r="F39" s="116">
        <f t="shared" si="8"/>
        <v>0</v>
      </c>
      <c r="G39" s="116">
        <f t="shared" si="8"/>
        <v>0</v>
      </c>
      <c r="H39" s="116">
        <f t="shared" si="8"/>
        <v>0</v>
      </c>
      <c r="I39" s="116">
        <f t="shared" si="8"/>
        <v>0</v>
      </c>
      <c r="J39" s="116">
        <f t="shared" si="8"/>
        <v>0</v>
      </c>
      <c r="K39" s="116">
        <f t="shared" si="8"/>
        <v>0</v>
      </c>
      <c r="L39" s="116">
        <f t="shared" si="8"/>
        <v>0</v>
      </c>
      <c r="M39" s="116">
        <f t="shared" si="8"/>
        <v>0</v>
      </c>
    </row>
    <row r="40" spans="2:13" s="53" customFormat="1" ht="17.45" customHeight="1" x14ac:dyDescent="0.25">
      <c r="B40" s="111" t="s">
        <v>136</v>
      </c>
      <c r="C40" s="112"/>
      <c r="D40" s="113">
        <f t="shared" ref="D40:M40" si="10">SUM(D35:D39)</f>
        <v>0</v>
      </c>
      <c r="E40" s="113">
        <f t="shared" si="10"/>
        <v>0</v>
      </c>
      <c r="F40" s="113">
        <f t="shared" si="10"/>
        <v>0</v>
      </c>
      <c r="G40" s="113">
        <f t="shared" si="10"/>
        <v>0</v>
      </c>
      <c r="H40" s="113">
        <f t="shared" si="10"/>
        <v>0</v>
      </c>
      <c r="I40" s="113">
        <f t="shared" si="10"/>
        <v>0</v>
      </c>
      <c r="J40" s="113">
        <f t="shared" si="10"/>
        <v>0</v>
      </c>
      <c r="K40" s="113">
        <f t="shared" si="10"/>
        <v>0</v>
      </c>
      <c r="L40" s="113">
        <f t="shared" si="10"/>
        <v>0</v>
      </c>
      <c r="M40" s="113">
        <f t="shared" si="10"/>
        <v>0</v>
      </c>
    </row>
    <row r="41" spans="2:13" s="114" customFormat="1" ht="9.9499999999999993" customHeight="1" x14ac:dyDescent="0.25">
      <c r="B41" s="118"/>
      <c r="C41" s="119"/>
      <c r="D41" s="120"/>
      <c r="E41" s="120"/>
      <c r="F41" s="120"/>
      <c r="G41" s="120"/>
      <c r="H41" s="120"/>
      <c r="I41" s="120"/>
      <c r="J41" s="120"/>
      <c r="K41" s="120"/>
      <c r="L41" s="120"/>
      <c r="M41" s="120"/>
    </row>
    <row r="42" spans="2:13" s="53" customFormat="1" ht="17.45" customHeight="1" x14ac:dyDescent="0.25">
      <c r="B42" s="122" t="s">
        <v>176</v>
      </c>
      <c r="C42" s="123"/>
      <c r="D42" s="124">
        <f t="shared" ref="D42:M42" si="11">-D33+D40</f>
        <v>0</v>
      </c>
      <c r="E42" s="124">
        <f t="shared" si="11"/>
        <v>0</v>
      </c>
      <c r="F42" s="124">
        <f t="shared" si="11"/>
        <v>0</v>
      </c>
      <c r="G42" s="124">
        <f t="shared" si="11"/>
        <v>0</v>
      </c>
      <c r="H42" s="124">
        <f t="shared" si="11"/>
        <v>0</v>
      </c>
      <c r="I42" s="124">
        <f t="shared" si="11"/>
        <v>0</v>
      </c>
      <c r="J42" s="124">
        <f t="shared" si="11"/>
        <v>0</v>
      </c>
      <c r="K42" s="124">
        <f t="shared" si="11"/>
        <v>0</v>
      </c>
      <c r="L42" s="124">
        <f t="shared" si="11"/>
        <v>0</v>
      </c>
      <c r="M42" s="124">
        <f t="shared" si="11"/>
        <v>0</v>
      </c>
    </row>
    <row r="43" spans="2:13" s="114" customFormat="1" ht="9.9499999999999993" customHeight="1" x14ac:dyDescent="0.25">
      <c r="B43" s="118"/>
      <c r="C43" s="119"/>
      <c r="D43" s="120"/>
      <c r="E43" s="120"/>
      <c r="F43" s="120"/>
      <c r="G43" s="120"/>
      <c r="H43" s="120"/>
      <c r="I43" s="120"/>
      <c r="J43" s="120"/>
      <c r="K43" s="120"/>
      <c r="L43" s="120"/>
      <c r="M43" s="120"/>
    </row>
    <row r="44" spans="2:13" s="114" customFormat="1" ht="15" customHeight="1" x14ac:dyDescent="0.25">
      <c r="B44" s="105" t="s">
        <v>137</v>
      </c>
      <c r="C44" s="162">
        <v>5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</row>
    <row r="45" spans="2:13" s="114" customFormat="1" ht="15" customHeight="1" x14ac:dyDescent="0.25">
      <c r="B45" s="105" t="s">
        <v>138</v>
      </c>
      <c r="C45" s="115"/>
      <c r="D45" s="116">
        <f t="shared" ref="D45:M45" si="12">IF($C$8&gt;1,D20,0)</f>
        <v>0</v>
      </c>
      <c r="E45" s="116">
        <f t="shared" si="12"/>
        <v>0</v>
      </c>
      <c r="F45" s="116">
        <f t="shared" si="12"/>
        <v>0</v>
      </c>
      <c r="G45" s="116">
        <f t="shared" si="12"/>
        <v>0</v>
      </c>
      <c r="H45" s="116">
        <f t="shared" si="12"/>
        <v>0</v>
      </c>
      <c r="I45" s="116">
        <f t="shared" si="12"/>
        <v>0</v>
      </c>
      <c r="J45" s="116">
        <f t="shared" si="12"/>
        <v>0</v>
      </c>
      <c r="K45" s="116">
        <f t="shared" si="12"/>
        <v>0</v>
      </c>
      <c r="L45" s="116">
        <f t="shared" si="12"/>
        <v>0</v>
      </c>
      <c r="M45" s="116">
        <f t="shared" si="12"/>
        <v>0</v>
      </c>
    </row>
    <row r="46" spans="2:13" s="114" customFormat="1" ht="15" customHeight="1" x14ac:dyDescent="0.25">
      <c r="B46" s="105" t="s">
        <v>167</v>
      </c>
      <c r="C46" s="115"/>
      <c r="D46" s="116">
        <f>IF(C8=1,C17/C44,0)</f>
        <v>0</v>
      </c>
      <c r="E46" s="116">
        <f>IF($C$44&gt;1,D46,0)</f>
        <v>0</v>
      </c>
      <c r="F46" s="116">
        <f>IF($C$44&gt;2,E46,0)</f>
        <v>0</v>
      </c>
      <c r="G46" s="116">
        <f>IF($C$44&gt;3,F46,0)</f>
        <v>0</v>
      </c>
      <c r="H46" s="116">
        <f>IF($C$44&gt;4,G46,0)</f>
        <v>0</v>
      </c>
      <c r="I46" s="116">
        <f>IF($C$44&gt;5,H46,0)</f>
        <v>0</v>
      </c>
      <c r="J46" s="116">
        <f>IF($C$44&gt;6,I46,0)</f>
        <v>0</v>
      </c>
      <c r="K46" s="116">
        <f>IF($C$44&gt;7,J46,0)</f>
        <v>0</v>
      </c>
      <c r="L46" s="116">
        <f>IF($C$44&gt;8,K46,0)</f>
        <v>0</v>
      </c>
      <c r="M46" s="116">
        <f>IF($C$44&gt;9,L46,0)</f>
        <v>0</v>
      </c>
    </row>
    <row r="47" spans="2:13" s="114" customFormat="1" ht="15" customHeight="1" x14ac:dyDescent="0.25">
      <c r="B47" s="105" t="s">
        <v>139</v>
      </c>
      <c r="C47" s="115"/>
      <c r="D47" s="116">
        <f>-C26/C44</f>
        <v>0</v>
      </c>
      <c r="E47" s="116">
        <f>IF($C$44&gt;1,D47,0)</f>
        <v>0</v>
      </c>
      <c r="F47" s="116">
        <f>IF($C$44&gt;2,E47,0)</f>
        <v>0</v>
      </c>
      <c r="G47" s="116">
        <f>IF($C$44&gt;3,F47,0)</f>
        <v>0</v>
      </c>
      <c r="H47" s="116">
        <f>IF($C$44&gt;4,G47,0)</f>
        <v>0</v>
      </c>
      <c r="I47" s="116">
        <f>IF($C$44&gt;5,H47,0)</f>
        <v>0</v>
      </c>
      <c r="J47" s="116">
        <f>IF($C$44&gt;6,I47,0)</f>
        <v>0</v>
      </c>
      <c r="K47" s="116">
        <f>IF($C$44&gt;7,J47,0)</f>
        <v>0</v>
      </c>
      <c r="L47" s="116">
        <f>IF($C$44&gt;8,K47,0)</f>
        <v>0</v>
      </c>
      <c r="M47" s="116">
        <f>IF($C$44&gt;9,L47,0)</f>
        <v>0</v>
      </c>
    </row>
    <row r="48" spans="2:13" s="53" customFormat="1" ht="17.45" customHeight="1" x14ac:dyDescent="0.25">
      <c r="B48" s="111" t="s">
        <v>140</v>
      </c>
      <c r="C48" s="112"/>
      <c r="D48" s="113">
        <f t="shared" ref="D48:M48" si="13">D42-SUM(D45:D47)</f>
        <v>0</v>
      </c>
      <c r="E48" s="113">
        <f t="shared" si="13"/>
        <v>0</v>
      </c>
      <c r="F48" s="113">
        <f t="shared" si="13"/>
        <v>0</v>
      </c>
      <c r="G48" s="113">
        <f t="shared" si="13"/>
        <v>0</v>
      </c>
      <c r="H48" s="113">
        <f t="shared" si="13"/>
        <v>0</v>
      </c>
      <c r="I48" s="113">
        <f t="shared" si="13"/>
        <v>0</v>
      </c>
      <c r="J48" s="113">
        <f t="shared" si="13"/>
        <v>0</v>
      </c>
      <c r="K48" s="113">
        <f t="shared" si="13"/>
        <v>0</v>
      </c>
      <c r="L48" s="113">
        <f t="shared" si="13"/>
        <v>0</v>
      </c>
      <c r="M48" s="113">
        <f t="shared" si="13"/>
        <v>0</v>
      </c>
    </row>
    <row r="49" spans="2:13" s="114" customFormat="1" ht="9.9499999999999993" customHeight="1" x14ac:dyDescent="0.25">
      <c r="B49" s="118"/>
      <c r="C49" s="119"/>
      <c r="D49" s="120"/>
      <c r="E49" s="120"/>
      <c r="F49" s="120"/>
      <c r="G49" s="120"/>
      <c r="H49" s="120"/>
      <c r="I49" s="120"/>
      <c r="J49" s="120"/>
      <c r="K49" s="120"/>
      <c r="L49" s="120"/>
      <c r="M49" s="120"/>
    </row>
    <row r="50" spans="2:13" s="114" customFormat="1" ht="15" customHeight="1" x14ac:dyDescent="0.25">
      <c r="B50" s="105" t="s">
        <v>141</v>
      </c>
      <c r="C50" s="115"/>
      <c r="D50" s="116">
        <v>0</v>
      </c>
      <c r="E50" s="116">
        <v>0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116">
        <v>0</v>
      </c>
      <c r="L50" s="116">
        <v>0</v>
      </c>
      <c r="M50" s="116">
        <v>0</v>
      </c>
    </row>
    <row r="51" spans="2:13" s="114" customFormat="1" ht="15" customHeight="1" x14ac:dyDescent="0.25">
      <c r="B51" s="105" t="s">
        <v>142</v>
      </c>
      <c r="C51" s="115"/>
      <c r="D51" s="116">
        <f t="shared" ref="D51:M51" si="14">D48-D50</f>
        <v>0</v>
      </c>
      <c r="E51" s="116">
        <f t="shared" si="14"/>
        <v>0</v>
      </c>
      <c r="F51" s="116">
        <f t="shared" si="14"/>
        <v>0</v>
      </c>
      <c r="G51" s="116">
        <f t="shared" si="14"/>
        <v>0</v>
      </c>
      <c r="H51" s="116">
        <f t="shared" si="14"/>
        <v>0</v>
      </c>
      <c r="I51" s="116">
        <f t="shared" si="14"/>
        <v>0</v>
      </c>
      <c r="J51" s="116">
        <f t="shared" si="14"/>
        <v>0</v>
      </c>
      <c r="K51" s="116">
        <f t="shared" si="14"/>
        <v>0</v>
      </c>
      <c r="L51" s="116">
        <f t="shared" si="14"/>
        <v>0</v>
      </c>
      <c r="M51" s="116">
        <f t="shared" si="14"/>
        <v>0</v>
      </c>
    </row>
    <row r="52" spans="2:13" s="114" customFormat="1" ht="15" customHeight="1" x14ac:dyDescent="0.25">
      <c r="B52" s="105" t="s">
        <v>143</v>
      </c>
      <c r="C52" s="125">
        <v>0.32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/>
    </row>
    <row r="53" spans="2:13" s="114" customFormat="1" ht="15" customHeight="1" x14ac:dyDescent="0.25">
      <c r="B53" s="105" t="s">
        <v>144</v>
      </c>
      <c r="C53" s="115"/>
      <c r="D53" s="116">
        <f t="shared" ref="D53:M53" si="15">$C$52*D51</f>
        <v>0</v>
      </c>
      <c r="E53" s="116">
        <f t="shared" si="15"/>
        <v>0</v>
      </c>
      <c r="F53" s="116">
        <f t="shared" si="15"/>
        <v>0</v>
      </c>
      <c r="G53" s="116">
        <f t="shared" si="15"/>
        <v>0</v>
      </c>
      <c r="H53" s="116">
        <f t="shared" si="15"/>
        <v>0</v>
      </c>
      <c r="I53" s="116">
        <f t="shared" si="15"/>
        <v>0</v>
      </c>
      <c r="J53" s="116">
        <f t="shared" si="15"/>
        <v>0</v>
      </c>
      <c r="K53" s="116">
        <f t="shared" si="15"/>
        <v>0</v>
      </c>
      <c r="L53" s="116">
        <f t="shared" si="15"/>
        <v>0</v>
      </c>
      <c r="M53" s="116">
        <f t="shared" si="15"/>
        <v>0</v>
      </c>
    </row>
    <row r="54" spans="2:13" s="53" customFormat="1" ht="17.45" customHeight="1" x14ac:dyDescent="0.25">
      <c r="B54" s="122" t="s">
        <v>145</v>
      </c>
      <c r="C54" s="123">
        <f>-C16+C27</f>
        <v>0</v>
      </c>
      <c r="D54" s="124">
        <f>D48+D46+D47-D53</f>
        <v>0</v>
      </c>
      <c r="E54" s="124">
        <f t="shared" ref="E54:M54" si="16">E48+E46+E47-E53</f>
        <v>0</v>
      </c>
      <c r="F54" s="124">
        <f t="shared" si="16"/>
        <v>0</v>
      </c>
      <c r="G54" s="124">
        <f t="shared" si="16"/>
        <v>0</v>
      </c>
      <c r="H54" s="124">
        <f t="shared" si="16"/>
        <v>0</v>
      </c>
      <c r="I54" s="124">
        <f t="shared" si="16"/>
        <v>0</v>
      </c>
      <c r="J54" s="124">
        <f t="shared" si="16"/>
        <v>0</v>
      </c>
      <c r="K54" s="124">
        <f t="shared" si="16"/>
        <v>0</v>
      </c>
      <c r="L54" s="124">
        <f t="shared" si="16"/>
        <v>0</v>
      </c>
      <c r="M54" s="124">
        <f t="shared" si="16"/>
        <v>0</v>
      </c>
    </row>
    <row r="55" spans="2:13" s="114" customFormat="1" ht="15" customHeight="1" x14ac:dyDescent="0.25">
      <c r="B55" s="105" t="s">
        <v>146</v>
      </c>
      <c r="C55" s="126">
        <f>WACC!C7</f>
        <v>4.8419825E-2</v>
      </c>
      <c r="D55" s="116"/>
      <c r="E55" s="116"/>
      <c r="F55" s="116"/>
      <c r="G55" s="116"/>
      <c r="H55" s="116"/>
      <c r="I55" s="116"/>
      <c r="J55" s="116"/>
      <c r="K55" s="116"/>
      <c r="L55" s="116"/>
      <c r="M55" s="116"/>
    </row>
    <row r="56" spans="2:13" s="114" customFormat="1" ht="15" customHeight="1" x14ac:dyDescent="0.25">
      <c r="B56" s="105" t="s">
        <v>147</v>
      </c>
      <c r="C56" s="115">
        <f>C54</f>
        <v>0</v>
      </c>
      <c r="D56" s="116">
        <f>NPV($C$55,D54)</f>
        <v>0</v>
      </c>
      <c r="E56" s="116">
        <f>NPV($C$55,0,E54)</f>
        <v>0</v>
      </c>
      <c r="F56" s="116">
        <f>NPV($C$55,0,0,F54)</f>
        <v>0</v>
      </c>
      <c r="G56" s="116">
        <f>NPV($C$55,0,0,0,G54)</f>
        <v>0</v>
      </c>
      <c r="H56" s="116">
        <f>NPV($C$55,0,0,0,0,H54)</f>
        <v>0</v>
      </c>
      <c r="I56" s="116">
        <f>NPV($C$55,0,0,0,0,0,I54)</f>
        <v>0</v>
      </c>
      <c r="J56" s="116">
        <f>NPV($C$55,0,0,0,0,0,0,J54)</f>
        <v>0</v>
      </c>
      <c r="K56" s="116">
        <f>NPV($C$55,0,0,0,0,0,0,0,K54)</f>
        <v>0</v>
      </c>
      <c r="L56" s="116">
        <f>NPV($C$55,0,0,0,0,0,0,0,0,L54)</f>
        <v>0</v>
      </c>
      <c r="M56" s="116">
        <f>NPV($C$55,0,0,0,0,0,0,0,0,0,M54)</f>
        <v>0</v>
      </c>
    </row>
    <row r="57" spans="2:13" s="114" customFormat="1" ht="15" customHeight="1" x14ac:dyDescent="0.25">
      <c r="B57" s="105" t="s">
        <v>148</v>
      </c>
      <c r="C57" s="115">
        <f>C56</f>
        <v>0</v>
      </c>
      <c r="D57" s="116">
        <f t="shared" ref="D57:M57" si="17">C57+D56</f>
        <v>0</v>
      </c>
      <c r="E57" s="116">
        <f t="shared" si="17"/>
        <v>0</v>
      </c>
      <c r="F57" s="116">
        <f t="shared" si="17"/>
        <v>0</v>
      </c>
      <c r="G57" s="116">
        <f t="shared" si="17"/>
        <v>0</v>
      </c>
      <c r="H57" s="116">
        <f t="shared" si="17"/>
        <v>0</v>
      </c>
      <c r="I57" s="116">
        <f t="shared" si="17"/>
        <v>0</v>
      </c>
      <c r="J57" s="116">
        <f t="shared" si="17"/>
        <v>0</v>
      </c>
      <c r="K57" s="116">
        <f t="shared" si="17"/>
        <v>0</v>
      </c>
      <c r="L57" s="116">
        <f t="shared" si="17"/>
        <v>0</v>
      </c>
      <c r="M57" s="116">
        <f t="shared" si="17"/>
        <v>0</v>
      </c>
    </row>
    <row r="59" spans="2:13" ht="17.45" customHeight="1" x14ac:dyDescent="0.25">
      <c r="B59" s="49" t="s">
        <v>149</v>
      </c>
      <c r="C59" s="127">
        <f>IF(C8&gt;1,"N/A",C80)</f>
        <v>0</v>
      </c>
      <c r="D59" s="128"/>
    </row>
    <row r="61" spans="2:13" ht="17.45" customHeight="1" x14ac:dyDescent="0.25">
      <c r="B61" s="129" t="s">
        <v>150</v>
      </c>
      <c r="C61" s="130" t="e">
        <f>IF(C8&gt;1,"N/A",IRR(C54:M54))</f>
        <v>#NUM!</v>
      </c>
      <c r="D61" s="128"/>
    </row>
    <row r="63" spans="2:13" ht="15" customHeight="1" x14ac:dyDescent="0.25">
      <c r="B63" s="131" t="s">
        <v>151</v>
      </c>
      <c r="C63" s="132">
        <f>C16</f>
        <v>0</v>
      </c>
    </row>
    <row r="64" spans="2:13" ht="15" customHeight="1" x14ac:dyDescent="0.25">
      <c r="B64" s="131" t="s">
        <v>171</v>
      </c>
      <c r="C64" s="132">
        <f>'3-Caratteristiche dei sistemi'!$I$14*'5-Costi di funziona.- pay back'!$C$37</f>
        <v>0</v>
      </c>
    </row>
    <row r="65" spans="2:13" ht="15" customHeight="1" x14ac:dyDescent="0.25">
      <c r="B65" s="131" t="s">
        <v>152</v>
      </c>
      <c r="C65" s="161" t="e">
        <f>50000/'5-Costi di funziona.- pay back'!C41</f>
        <v>#DIV/0!</v>
      </c>
    </row>
    <row r="66" spans="2:13" ht="15" customHeight="1" x14ac:dyDescent="0.25">
      <c r="B66" s="131" t="s">
        <v>172</v>
      </c>
      <c r="C66" s="132" t="e">
        <f>C64*C65</f>
        <v>#DIV/0!</v>
      </c>
    </row>
    <row r="67" spans="2:13" ht="15" customHeight="1" x14ac:dyDescent="0.25">
      <c r="B67" s="131" t="s">
        <v>173</v>
      </c>
      <c r="C67" s="133" t="e">
        <f>C63/C66</f>
        <v>#DIV/0!</v>
      </c>
    </row>
    <row r="68" spans="2:13" ht="15" customHeight="1" x14ac:dyDescent="0.25">
      <c r="B68" s="131" t="s">
        <v>153</v>
      </c>
      <c r="C68" s="132">
        <f>'5-Costi di funziona.- pay back'!C41</f>
        <v>0</v>
      </c>
    </row>
    <row r="69" spans="2:13" ht="15" customHeight="1" x14ac:dyDescent="0.25">
      <c r="B69" s="134" t="s">
        <v>154</v>
      </c>
      <c r="C69" s="135">
        <f>1500/10000</f>
        <v>0.15</v>
      </c>
    </row>
    <row r="70" spans="2:13" ht="15" customHeight="1" x14ac:dyDescent="0.25">
      <c r="B70" s="131" t="s">
        <v>155</v>
      </c>
      <c r="C70" s="133" t="e">
        <f>C68*C69/C64</f>
        <v>#DIV/0!</v>
      </c>
    </row>
    <row r="72" spans="2:13" ht="15" customHeight="1" x14ac:dyDescent="0.25">
      <c r="B72" s="1548"/>
      <c r="C72" s="1549"/>
      <c r="D72" s="1549"/>
    </row>
    <row r="73" spans="2:13" ht="15" customHeight="1" x14ac:dyDescent="0.25">
      <c r="B73" s="1548"/>
      <c r="C73" s="1549"/>
      <c r="D73" s="1549"/>
    </row>
    <row r="74" spans="2:13" ht="15" customHeight="1" x14ac:dyDescent="0.25">
      <c r="B74" s="1548"/>
      <c r="C74" s="1549"/>
      <c r="D74" s="1549"/>
    </row>
    <row r="75" spans="2:13" ht="15" customHeight="1" x14ac:dyDescent="0.25">
      <c r="B75" s="166"/>
      <c r="C75" s="167"/>
      <c r="D75" s="167"/>
    </row>
    <row r="76" spans="2:13" s="168" customFormat="1" ht="15" customHeight="1" x14ac:dyDescent="0.25">
      <c r="B76" s="169" t="s">
        <v>123</v>
      </c>
      <c r="C76" s="169">
        <v>0</v>
      </c>
      <c r="D76" s="169">
        <f t="shared" ref="D76:M76" si="18">C76+1</f>
        <v>1</v>
      </c>
      <c r="E76" s="169">
        <f t="shared" si="18"/>
        <v>2</v>
      </c>
      <c r="F76" s="169">
        <f t="shared" si="18"/>
        <v>3</v>
      </c>
      <c r="G76" s="169">
        <f t="shared" si="18"/>
        <v>4</v>
      </c>
      <c r="H76" s="169">
        <f t="shared" si="18"/>
        <v>5</v>
      </c>
      <c r="I76" s="169">
        <f t="shared" si="18"/>
        <v>6</v>
      </c>
      <c r="J76" s="169">
        <f t="shared" si="18"/>
        <v>7</v>
      </c>
      <c r="K76" s="169">
        <f t="shared" si="18"/>
        <v>8</v>
      </c>
      <c r="L76" s="169">
        <f t="shared" si="18"/>
        <v>9</v>
      </c>
      <c r="M76" s="169">
        <f t="shared" si="18"/>
        <v>10</v>
      </c>
    </row>
    <row r="77" spans="2:13" ht="15" customHeight="1" x14ac:dyDescent="0.25">
      <c r="B77" s="1550" t="s">
        <v>156</v>
      </c>
      <c r="C77" s="115">
        <f t="shared" ref="C77:M77" si="19">C54</f>
        <v>0</v>
      </c>
      <c r="D77" s="115">
        <f t="shared" si="19"/>
        <v>0</v>
      </c>
      <c r="E77" s="115">
        <f t="shared" si="19"/>
        <v>0</v>
      </c>
      <c r="F77" s="115">
        <f t="shared" si="19"/>
        <v>0</v>
      </c>
      <c r="G77" s="115">
        <f t="shared" si="19"/>
        <v>0</v>
      </c>
      <c r="H77" s="115">
        <f t="shared" si="19"/>
        <v>0</v>
      </c>
      <c r="I77" s="115">
        <f t="shared" si="19"/>
        <v>0</v>
      </c>
      <c r="J77" s="115">
        <f t="shared" si="19"/>
        <v>0</v>
      </c>
      <c r="K77" s="115">
        <f t="shared" si="19"/>
        <v>0</v>
      </c>
      <c r="L77" s="115">
        <f t="shared" si="19"/>
        <v>0</v>
      </c>
      <c r="M77" s="115">
        <f t="shared" si="19"/>
        <v>0</v>
      </c>
    </row>
    <row r="78" spans="2:13" ht="15" customHeight="1" x14ac:dyDescent="0.25">
      <c r="B78" s="1551"/>
      <c r="C78" s="115">
        <f>C77</f>
        <v>0</v>
      </c>
      <c r="D78" s="115">
        <f t="shared" ref="D78:M78" si="20">C78+D77</f>
        <v>0</v>
      </c>
      <c r="E78" s="115">
        <f t="shared" si="20"/>
        <v>0</v>
      </c>
      <c r="F78" s="115">
        <f t="shared" si="20"/>
        <v>0</v>
      </c>
      <c r="G78" s="115">
        <f t="shared" si="20"/>
        <v>0</v>
      </c>
      <c r="H78" s="115">
        <f t="shared" si="20"/>
        <v>0</v>
      </c>
      <c r="I78" s="115">
        <f t="shared" si="20"/>
        <v>0</v>
      </c>
      <c r="J78" s="115">
        <f t="shared" si="20"/>
        <v>0</v>
      </c>
      <c r="K78" s="115">
        <f t="shared" si="20"/>
        <v>0</v>
      </c>
      <c r="L78" s="115">
        <f t="shared" si="20"/>
        <v>0</v>
      </c>
      <c r="M78" s="115">
        <f t="shared" si="20"/>
        <v>0</v>
      </c>
    </row>
    <row r="79" spans="2:13" ht="15" customHeight="1" x14ac:dyDescent="0.25">
      <c r="B79" s="1551"/>
      <c r="C79" s="121"/>
      <c r="D79" s="136">
        <f>IF(D78&gt;0,-C78/(D78-C78)+0,0)</f>
        <v>0</v>
      </c>
      <c r="E79" s="136">
        <f>IF(D78*E78&lt;0,-D78/(E78-D78)+1,0)</f>
        <v>0</v>
      </c>
      <c r="F79" s="136">
        <f>IF(E78*F78&lt;0,-E78/(F78-E78)+2,0)</f>
        <v>0</v>
      </c>
      <c r="G79" s="136">
        <f>IF(F78*G78&lt;0,-F78/(G78-F78)+3,0)</f>
        <v>0</v>
      </c>
      <c r="H79" s="136">
        <f>IF(G78*H78&lt;0,-G78/(H78-G78)+4,0)</f>
        <v>0</v>
      </c>
      <c r="I79" s="136">
        <f>IF(H78*I78&lt;0,-H78/(I78-H78)+5,0)</f>
        <v>0</v>
      </c>
      <c r="J79" s="136">
        <f>IF(I78*J78&lt;0,-I78/(J78-I78)+6,0)</f>
        <v>0</v>
      </c>
      <c r="K79" s="136">
        <f>IF(J78*K78&lt;0,-J78/(K78-J78)+7,0)</f>
        <v>0</v>
      </c>
      <c r="L79" s="136">
        <f>IF(K78*L78&lt;0,-K78/(L78-K78)+8,0)</f>
        <v>0</v>
      </c>
      <c r="M79" s="136">
        <f>IF(L78*M78&lt;0,-L78/(M78-L78)+9,0)</f>
        <v>0</v>
      </c>
    </row>
    <row r="80" spans="2:13" ht="15" customHeight="1" x14ac:dyDescent="0.25">
      <c r="B80" s="1552"/>
      <c r="C80" s="137">
        <f>MAX(D79:M79)</f>
        <v>0</v>
      </c>
      <c r="D80" s="121">
        <f t="shared" ref="D80:M80" si="21">IF(D77&gt;D78,1,0)</f>
        <v>0</v>
      </c>
      <c r="E80" s="121">
        <f t="shared" si="21"/>
        <v>0</v>
      </c>
      <c r="F80" s="121">
        <f t="shared" si="21"/>
        <v>0</v>
      </c>
      <c r="G80" s="121">
        <f t="shared" si="21"/>
        <v>0</v>
      </c>
      <c r="H80" s="121">
        <f t="shared" si="21"/>
        <v>0</v>
      </c>
      <c r="I80" s="121">
        <f t="shared" si="21"/>
        <v>0</v>
      </c>
      <c r="J80" s="121">
        <f t="shared" si="21"/>
        <v>0</v>
      </c>
      <c r="K80" s="121">
        <f t="shared" si="21"/>
        <v>0</v>
      </c>
      <c r="L80" s="121">
        <f t="shared" si="21"/>
        <v>0</v>
      </c>
      <c r="M80" s="121">
        <f t="shared" si="21"/>
        <v>0</v>
      </c>
    </row>
  </sheetData>
  <mergeCells count="3">
    <mergeCell ref="B72:B74"/>
    <mergeCell ref="C72:D74"/>
    <mergeCell ref="B77:B80"/>
  </mergeCells>
  <phoneticPr fontId="7" type="noConversion"/>
  <dataValidations count="2">
    <dataValidation type="whole" allowBlank="1" showInputMessage="1" showErrorMessage="1" errorTitle="Scelta non valida" error="SELEZIONE NON VALIDA !" sqref="C8">
      <formula1>1</formula1>
      <formula2>3</formula2>
    </dataValidation>
    <dataValidation allowBlank="1" showInputMessage="1" showErrorMessage="1" errorTitle="Scelta non valida" error="Solo acquisto diretto o leasing finanziario a 5 anni per ora !" sqref="D10:H10 C9:C14"/>
  </dataValidations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N85"/>
  <sheetViews>
    <sheetView topLeftCell="A4" workbookViewId="0">
      <selection activeCell="B20" sqref="B20"/>
    </sheetView>
  </sheetViews>
  <sheetFormatPr defaultRowHeight="15.75" x14ac:dyDescent="0.25"/>
  <cols>
    <col min="1" max="1" width="12.625" style="28" customWidth="1"/>
    <col min="2" max="2" width="12.625" style="65" bestFit="1" customWidth="1"/>
    <col min="3" max="3" width="9" style="65" bestFit="1"/>
    <col min="4" max="4" width="12.625" style="28" bestFit="1" customWidth="1"/>
    <col min="5" max="5" width="12.75" style="28" customWidth="1"/>
    <col min="6" max="6" width="11.5" style="28" bestFit="1" customWidth="1"/>
    <col min="7" max="7" width="12.875" style="28" bestFit="1" customWidth="1"/>
    <col min="8" max="8" width="9.25" style="28" bestFit="1" customWidth="1"/>
    <col min="9" max="10" width="9" style="28"/>
    <col min="11" max="11" width="10.125" style="28" bestFit="1" customWidth="1"/>
    <col min="12" max="12" width="9.375" style="28" bestFit="1" customWidth="1"/>
    <col min="13" max="13" width="22.75" style="28" bestFit="1" customWidth="1"/>
    <col min="14" max="16384" width="9" style="28"/>
  </cols>
  <sheetData>
    <row r="1" spans="1:14" ht="20.25" x14ac:dyDescent="0.25">
      <c r="A1" s="51" t="s">
        <v>174</v>
      </c>
      <c r="B1" s="52"/>
      <c r="C1" s="52"/>
      <c r="D1" s="53"/>
      <c r="E1" s="53"/>
    </row>
    <row r="2" spans="1:14" x14ac:dyDescent="0.25">
      <c r="A2" s="53"/>
      <c r="B2" s="52"/>
      <c r="C2" s="52"/>
      <c r="D2" s="53"/>
      <c r="E2" s="53"/>
    </row>
    <row r="3" spans="1:14" ht="19.5" customHeight="1" x14ac:dyDescent="0.25">
      <c r="A3" s="54" t="s">
        <v>87</v>
      </c>
      <c r="B3" s="92">
        <v>0</v>
      </c>
      <c r="C3" s="56"/>
      <c r="D3" s="57" t="s">
        <v>88</v>
      </c>
      <c r="E3" s="55">
        <v>1000</v>
      </c>
      <c r="J3" s="53"/>
      <c r="K3" s="58"/>
    </row>
    <row r="4" spans="1:14" ht="25.5" x14ac:dyDescent="0.25">
      <c r="A4" s="57" t="s">
        <v>89</v>
      </c>
      <c r="B4" s="55">
        <f>10%*B3</f>
        <v>0</v>
      </c>
      <c r="C4" s="56"/>
      <c r="D4" s="57" t="s">
        <v>90</v>
      </c>
      <c r="E4" s="55">
        <f>+B3-B4-E3</f>
        <v>-1000</v>
      </c>
      <c r="J4" s="59"/>
      <c r="K4" s="53"/>
    </row>
    <row r="5" spans="1:14" ht="25.5" x14ac:dyDescent="0.25">
      <c r="A5" s="57" t="s">
        <v>91</v>
      </c>
      <c r="B5" s="92">
        <v>0</v>
      </c>
      <c r="C5" s="56"/>
      <c r="D5" s="57" t="s">
        <v>92</v>
      </c>
      <c r="E5" s="60">
        <v>0.01</v>
      </c>
      <c r="F5" s="61"/>
      <c r="G5" s="62" t="s">
        <v>93</v>
      </c>
      <c r="H5" s="63">
        <f>B5*12</f>
        <v>0</v>
      </c>
      <c r="J5" s="59"/>
      <c r="K5" s="58"/>
    </row>
    <row r="6" spans="1:14" ht="20.100000000000001" customHeight="1" x14ac:dyDescent="0.25">
      <c r="A6" s="57" t="s">
        <v>94</v>
      </c>
      <c r="B6" s="64">
        <v>39814</v>
      </c>
      <c r="C6" s="56"/>
      <c r="D6" s="57" t="s">
        <v>95</v>
      </c>
      <c r="E6" s="55">
        <f>E5*B3</f>
        <v>0</v>
      </c>
      <c r="F6" s="65"/>
      <c r="J6" s="59"/>
      <c r="K6" s="66"/>
    </row>
    <row r="7" spans="1:14" ht="25.5" x14ac:dyDescent="0.25">
      <c r="A7" s="57" t="s">
        <v>96</v>
      </c>
      <c r="B7" s="67"/>
      <c r="C7" s="56"/>
      <c r="D7" s="57" t="s">
        <v>97</v>
      </c>
      <c r="E7" s="68">
        <v>365</v>
      </c>
      <c r="J7" s="59"/>
      <c r="K7" s="66"/>
    </row>
    <row r="8" spans="1:14" x14ac:dyDescent="0.25">
      <c r="A8" s="59"/>
      <c r="B8" s="69"/>
      <c r="C8" s="56"/>
      <c r="D8" s="70"/>
      <c r="E8" s="70"/>
    </row>
    <row r="9" spans="1:14" x14ac:dyDescent="0.25">
      <c r="A9" s="71" t="s">
        <v>98</v>
      </c>
      <c r="B9" s="69"/>
      <c r="C9" s="56"/>
      <c r="D9" s="70"/>
      <c r="E9" s="70"/>
      <c r="M9" t="s">
        <v>99</v>
      </c>
      <c r="N9">
        <v>1</v>
      </c>
    </row>
    <row r="10" spans="1:14" x14ac:dyDescent="0.25">
      <c r="A10" s="59"/>
      <c r="B10" s="72"/>
      <c r="C10" s="56"/>
      <c r="D10" s="70"/>
      <c r="E10" s="53"/>
      <c r="M10" t="s">
        <v>100</v>
      </c>
      <c r="N10" t="s">
        <v>101</v>
      </c>
    </row>
    <row r="11" spans="1:14" x14ac:dyDescent="0.25">
      <c r="A11" s="53"/>
      <c r="B11" s="67" t="s">
        <v>102</v>
      </c>
      <c r="C11" s="72"/>
      <c r="D11" s="73" t="s">
        <v>103</v>
      </c>
      <c r="E11" s="53"/>
      <c r="M11" t="s">
        <v>104</v>
      </c>
      <c r="N11" t="s">
        <v>105</v>
      </c>
    </row>
    <row r="12" spans="1:14" x14ac:dyDescent="0.25">
      <c r="A12" s="54" t="s">
        <v>106</v>
      </c>
      <c r="B12" s="74">
        <f>E12+G12</f>
        <v>4.5999999999999999E-2</v>
      </c>
      <c r="C12" s="52"/>
      <c r="D12" s="75" t="s">
        <v>107</v>
      </c>
      <c r="E12" s="93">
        <v>2.8000000000000001E-2</v>
      </c>
      <c r="F12" s="77" t="s">
        <v>108</v>
      </c>
      <c r="G12" s="93">
        <v>1.7999999999999999E-2</v>
      </c>
      <c r="M12" t="s">
        <v>109</v>
      </c>
      <c r="N12" t="s">
        <v>110</v>
      </c>
    </row>
    <row r="13" spans="1:14" x14ac:dyDescent="0.25">
      <c r="A13" s="53"/>
      <c r="B13" s="53"/>
      <c r="C13" s="70"/>
      <c r="D13" s="70"/>
      <c r="E13" s="53"/>
      <c r="F13" s="53"/>
    </row>
    <row r="14" spans="1:14" x14ac:dyDescent="0.25">
      <c r="A14" s="78"/>
      <c r="B14" s="79" t="s">
        <v>111</v>
      </c>
      <c r="C14" s="79" t="s">
        <v>112</v>
      </c>
      <c r="D14" s="67" t="s">
        <v>113</v>
      </c>
      <c r="E14" s="67" t="s">
        <v>114</v>
      </c>
      <c r="F14" s="79" t="s">
        <v>115</v>
      </c>
      <c r="G14" s="79" t="s">
        <v>116</v>
      </c>
    </row>
    <row r="15" spans="1:14" x14ac:dyDescent="0.25">
      <c r="A15" s="80">
        <v>1</v>
      </c>
      <c r="B15" s="94">
        <v>39845</v>
      </c>
      <c r="C15" s="81">
        <f>+B15-B6-B7</f>
        <v>31</v>
      </c>
      <c r="D15" s="82">
        <f>+B5</f>
        <v>0</v>
      </c>
      <c r="E15" s="82">
        <f>+E4*$B$12*C15/$E$7</f>
        <v>-3.9068493150684933</v>
      </c>
      <c r="F15" s="83">
        <f t="shared" ref="F15:F74" si="0">+D15-E15</f>
        <v>3.9068493150684933</v>
      </c>
      <c r="G15" s="83">
        <f>+E4-F15</f>
        <v>-1003.9068493150685</v>
      </c>
    </row>
    <row r="16" spans="1:14" x14ac:dyDescent="0.25">
      <c r="A16" s="80">
        <v>2</v>
      </c>
      <c r="B16" s="94">
        <v>39873</v>
      </c>
      <c r="C16" s="81">
        <f t="shared" ref="C16:C73" si="1">+B16-B15</f>
        <v>28</v>
      </c>
      <c r="D16" s="82">
        <f t="shared" ref="D16:D73" si="2">+D15</f>
        <v>0</v>
      </c>
      <c r="E16" s="82">
        <f t="shared" ref="E16:E73" si="3">+G15*$B$12*C16/360</f>
        <v>-3.5917556164383564</v>
      </c>
      <c r="F16" s="83">
        <f t="shared" si="0"/>
        <v>3.5917556164383564</v>
      </c>
      <c r="G16" s="83">
        <f t="shared" ref="G16:G73" si="4">+G15-F16</f>
        <v>-1007.4986049315069</v>
      </c>
    </row>
    <row r="17" spans="1:7" x14ac:dyDescent="0.25">
      <c r="A17" s="80">
        <v>3</v>
      </c>
      <c r="B17" s="94">
        <v>39904</v>
      </c>
      <c r="C17" s="81">
        <f t="shared" si="1"/>
        <v>31</v>
      </c>
      <c r="D17" s="82">
        <f t="shared" si="2"/>
        <v>0</v>
      </c>
      <c r="E17" s="82">
        <f t="shared" si="3"/>
        <v>-3.9908139184231359</v>
      </c>
      <c r="F17" s="83">
        <f t="shared" si="0"/>
        <v>3.9908139184231359</v>
      </c>
      <c r="G17" s="83">
        <f t="shared" si="4"/>
        <v>-1011.48941884993</v>
      </c>
    </row>
    <row r="18" spans="1:7" x14ac:dyDescent="0.25">
      <c r="A18" s="80">
        <v>4</v>
      </c>
      <c r="B18" s="94">
        <v>39934</v>
      </c>
      <c r="C18" s="81">
        <f t="shared" si="1"/>
        <v>30</v>
      </c>
      <c r="D18" s="82">
        <f t="shared" si="2"/>
        <v>0</v>
      </c>
      <c r="E18" s="82">
        <f t="shared" si="3"/>
        <v>-3.8773761055913982</v>
      </c>
      <c r="F18" s="83">
        <f t="shared" si="0"/>
        <v>3.8773761055913982</v>
      </c>
      <c r="G18" s="83">
        <f t="shared" si="4"/>
        <v>-1015.3667949555214</v>
      </c>
    </row>
    <row r="19" spans="1:7" x14ac:dyDescent="0.25">
      <c r="A19" s="80">
        <v>5</v>
      </c>
      <c r="B19" s="94">
        <v>39965</v>
      </c>
      <c r="C19" s="81">
        <f t="shared" si="1"/>
        <v>31</v>
      </c>
      <c r="D19" s="82">
        <f t="shared" si="2"/>
        <v>0</v>
      </c>
      <c r="E19" s="82">
        <f t="shared" si="3"/>
        <v>-4.0219806933515931</v>
      </c>
      <c r="F19" s="83">
        <f t="shared" si="0"/>
        <v>4.0219806933515931</v>
      </c>
      <c r="G19" s="83">
        <f t="shared" si="4"/>
        <v>-1019.388775648873</v>
      </c>
    </row>
    <row r="20" spans="1:7" x14ac:dyDescent="0.25">
      <c r="A20" s="80">
        <v>6</v>
      </c>
      <c r="B20" s="94">
        <v>39995</v>
      </c>
      <c r="C20" s="81">
        <f t="shared" si="1"/>
        <v>30</v>
      </c>
      <c r="D20" s="82">
        <f t="shared" si="2"/>
        <v>0</v>
      </c>
      <c r="E20" s="82">
        <f t="shared" si="3"/>
        <v>-3.9076569733206794</v>
      </c>
      <c r="F20" s="83">
        <f t="shared" si="0"/>
        <v>3.9076569733206794</v>
      </c>
      <c r="G20" s="83">
        <f t="shared" si="4"/>
        <v>-1023.2964326221936</v>
      </c>
    </row>
    <row r="21" spans="1:7" x14ac:dyDescent="0.25">
      <c r="A21" s="80">
        <v>7</v>
      </c>
      <c r="B21" s="94">
        <v>40026</v>
      </c>
      <c r="C21" s="81">
        <f t="shared" si="1"/>
        <v>31</v>
      </c>
      <c r="D21" s="82">
        <f t="shared" si="2"/>
        <v>0</v>
      </c>
      <c r="E21" s="82">
        <f t="shared" si="3"/>
        <v>-4.0533908692201335</v>
      </c>
      <c r="F21" s="83">
        <f t="shared" si="0"/>
        <v>4.0533908692201335</v>
      </c>
      <c r="G21" s="83">
        <f t="shared" si="4"/>
        <v>-1027.3498234914136</v>
      </c>
    </row>
    <row r="22" spans="1:7" x14ac:dyDescent="0.25">
      <c r="A22" s="80">
        <v>8</v>
      </c>
      <c r="B22" s="94">
        <v>40057</v>
      </c>
      <c r="C22" s="81">
        <f t="shared" si="1"/>
        <v>31</v>
      </c>
      <c r="D22" s="82">
        <f t="shared" si="2"/>
        <v>0</v>
      </c>
      <c r="E22" s="82">
        <f t="shared" si="3"/>
        <v>-4.0694468008298781</v>
      </c>
      <c r="F22" s="83">
        <f t="shared" si="0"/>
        <v>4.0694468008298781</v>
      </c>
      <c r="G22" s="83">
        <f t="shared" si="4"/>
        <v>-1031.4192702922435</v>
      </c>
    </row>
    <row r="23" spans="1:7" x14ac:dyDescent="0.25">
      <c r="A23" s="80">
        <v>9</v>
      </c>
      <c r="B23" s="94">
        <v>40087</v>
      </c>
      <c r="C23" s="81">
        <f t="shared" si="1"/>
        <v>30</v>
      </c>
      <c r="D23" s="82">
        <f t="shared" si="2"/>
        <v>0</v>
      </c>
      <c r="E23" s="82">
        <f t="shared" si="3"/>
        <v>-3.9537738694535998</v>
      </c>
      <c r="F23" s="83">
        <f t="shared" si="0"/>
        <v>3.9537738694535998</v>
      </c>
      <c r="G23" s="83">
        <f t="shared" si="4"/>
        <v>-1035.3730441616972</v>
      </c>
    </row>
    <row r="24" spans="1:7" x14ac:dyDescent="0.25">
      <c r="A24" s="80">
        <v>10</v>
      </c>
      <c r="B24" s="94">
        <v>40118</v>
      </c>
      <c r="C24" s="81">
        <f t="shared" si="1"/>
        <v>31</v>
      </c>
      <c r="D24" s="82">
        <f t="shared" si="2"/>
        <v>0</v>
      </c>
      <c r="E24" s="82">
        <f t="shared" si="3"/>
        <v>-4.1012276693738334</v>
      </c>
      <c r="F24" s="83">
        <f t="shared" si="0"/>
        <v>4.1012276693738334</v>
      </c>
      <c r="G24" s="83">
        <f t="shared" si="4"/>
        <v>-1039.4742718310711</v>
      </c>
    </row>
    <row r="25" spans="1:7" x14ac:dyDescent="0.25">
      <c r="A25" s="80">
        <v>11</v>
      </c>
      <c r="B25" s="94">
        <v>40148</v>
      </c>
      <c r="C25" s="81">
        <f t="shared" si="1"/>
        <v>30</v>
      </c>
      <c r="D25" s="82">
        <f t="shared" si="2"/>
        <v>0</v>
      </c>
      <c r="E25" s="82">
        <f t="shared" si="3"/>
        <v>-3.9846513753524393</v>
      </c>
      <c r="F25" s="83">
        <f t="shared" si="0"/>
        <v>3.9846513753524393</v>
      </c>
      <c r="G25" s="83">
        <f t="shared" si="4"/>
        <v>-1043.4589232064236</v>
      </c>
    </row>
    <row r="26" spans="1:7" x14ac:dyDescent="0.25">
      <c r="A26" s="80">
        <v>12</v>
      </c>
      <c r="B26" s="94">
        <v>40179</v>
      </c>
      <c r="C26" s="81">
        <f t="shared" si="1"/>
        <v>31</v>
      </c>
      <c r="D26" s="82">
        <f t="shared" si="2"/>
        <v>0</v>
      </c>
      <c r="E26" s="82">
        <f t="shared" si="3"/>
        <v>-4.1332567347009999</v>
      </c>
      <c r="F26" s="83">
        <f t="shared" si="0"/>
        <v>4.1332567347009999</v>
      </c>
      <c r="G26" s="83">
        <f t="shared" si="4"/>
        <v>-1047.5921799411246</v>
      </c>
    </row>
    <row r="27" spans="1:7" x14ac:dyDescent="0.25">
      <c r="A27" s="80">
        <v>13</v>
      </c>
      <c r="B27" s="94">
        <v>40210</v>
      </c>
      <c r="C27" s="81">
        <f t="shared" si="1"/>
        <v>31</v>
      </c>
      <c r="D27" s="82">
        <f t="shared" si="2"/>
        <v>0</v>
      </c>
      <c r="E27" s="82">
        <f t="shared" si="3"/>
        <v>-4.1496290238778988</v>
      </c>
      <c r="F27" s="83">
        <f t="shared" si="0"/>
        <v>4.1496290238778988</v>
      </c>
      <c r="G27" s="83">
        <f t="shared" si="4"/>
        <v>-1051.7418089650025</v>
      </c>
    </row>
    <row r="28" spans="1:7" x14ac:dyDescent="0.25">
      <c r="A28" s="80">
        <v>14</v>
      </c>
      <c r="B28" s="94">
        <v>40238</v>
      </c>
      <c r="C28" s="81">
        <f t="shared" si="1"/>
        <v>28</v>
      </c>
      <c r="D28" s="82">
        <f t="shared" si="2"/>
        <v>0</v>
      </c>
      <c r="E28" s="82">
        <f t="shared" si="3"/>
        <v>-3.7628984720747871</v>
      </c>
      <c r="F28" s="83">
        <f t="shared" si="0"/>
        <v>3.7628984720747871</v>
      </c>
      <c r="G28" s="83">
        <f t="shared" si="4"/>
        <v>-1055.5047074370773</v>
      </c>
    </row>
    <row r="29" spans="1:7" x14ac:dyDescent="0.25">
      <c r="A29" s="80">
        <v>15</v>
      </c>
      <c r="B29" s="94">
        <v>40269</v>
      </c>
      <c r="C29" s="81">
        <f t="shared" si="1"/>
        <v>31</v>
      </c>
      <c r="D29" s="82">
        <f t="shared" si="2"/>
        <v>0</v>
      </c>
      <c r="E29" s="82">
        <f t="shared" si="3"/>
        <v>-4.1809714244590896</v>
      </c>
      <c r="F29" s="83">
        <f t="shared" si="0"/>
        <v>4.1809714244590896</v>
      </c>
      <c r="G29" s="83">
        <f t="shared" si="4"/>
        <v>-1059.6856788615364</v>
      </c>
    </row>
    <row r="30" spans="1:7" x14ac:dyDescent="0.25">
      <c r="A30" s="80">
        <v>16</v>
      </c>
      <c r="B30" s="94">
        <v>40299</v>
      </c>
      <c r="C30" s="81">
        <f t="shared" si="1"/>
        <v>30</v>
      </c>
      <c r="D30" s="82">
        <f t="shared" si="2"/>
        <v>0</v>
      </c>
      <c r="E30" s="82">
        <f t="shared" si="3"/>
        <v>-4.0621284356358895</v>
      </c>
      <c r="F30" s="83">
        <f t="shared" si="0"/>
        <v>4.0621284356358895</v>
      </c>
      <c r="G30" s="83">
        <f t="shared" si="4"/>
        <v>-1063.7478072971724</v>
      </c>
    </row>
    <row r="31" spans="1:7" x14ac:dyDescent="0.25">
      <c r="A31" s="80">
        <v>17</v>
      </c>
      <c r="B31" s="94">
        <v>40330</v>
      </c>
      <c r="C31" s="81">
        <f t="shared" si="1"/>
        <v>31</v>
      </c>
      <c r="D31" s="82">
        <f t="shared" si="2"/>
        <v>0</v>
      </c>
      <c r="E31" s="82">
        <f t="shared" si="3"/>
        <v>-4.2136232589049101</v>
      </c>
      <c r="F31" s="83">
        <f t="shared" si="0"/>
        <v>4.2136232589049101</v>
      </c>
      <c r="G31" s="83">
        <f t="shared" si="4"/>
        <v>-1067.9614305560772</v>
      </c>
    </row>
    <row r="32" spans="1:7" x14ac:dyDescent="0.25">
      <c r="A32" s="80">
        <v>18</v>
      </c>
      <c r="B32" s="94">
        <v>40360</v>
      </c>
      <c r="C32" s="81">
        <f t="shared" si="1"/>
        <v>30</v>
      </c>
      <c r="D32" s="82">
        <f t="shared" si="2"/>
        <v>0</v>
      </c>
      <c r="E32" s="82">
        <f t="shared" si="3"/>
        <v>-4.0938521504649623</v>
      </c>
      <c r="F32" s="83">
        <f t="shared" si="0"/>
        <v>4.0938521504649623</v>
      </c>
      <c r="G32" s="83">
        <f t="shared" si="4"/>
        <v>-1072.0552827065421</v>
      </c>
    </row>
    <row r="33" spans="1:7" x14ac:dyDescent="0.25">
      <c r="A33" s="80">
        <v>19</v>
      </c>
      <c r="B33" s="94">
        <v>40391</v>
      </c>
      <c r="C33" s="81">
        <f t="shared" si="1"/>
        <v>31</v>
      </c>
      <c r="D33" s="82">
        <f t="shared" si="2"/>
        <v>0</v>
      </c>
      <c r="E33" s="82">
        <f t="shared" si="3"/>
        <v>-4.2465300920542477</v>
      </c>
      <c r="F33" s="83">
        <f t="shared" si="0"/>
        <v>4.2465300920542477</v>
      </c>
      <c r="G33" s="83">
        <f t="shared" si="4"/>
        <v>-1076.3018127985963</v>
      </c>
    </row>
    <row r="34" spans="1:7" x14ac:dyDescent="0.25">
      <c r="A34" s="80">
        <v>20</v>
      </c>
      <c r="B34" s="94">
        <v>40422</v>
      </c>
      <c r="C34" s="81">
        <f t="shared" si="1"/>
        <v>31</v>
      </c>
      <c r="D34" s="82">
        <f t="shared" si="2"/>
        <v>0</v>
      </c>
      <c r="E34" s="82">
        <f t="shared" si="3"/>
        <v>-4.2633510695855508</v>
      </c>
      <c r="F34" s="83">
        <f t="shared" si="0"/>
        <v>4.2633510695855508</v>
      </c>
      <c r="G34" s="83">
        <f t="shared" si="4"/>
        <v>-1080.5651638681818</v>
      </c>
    </row>
    <row r="35" spans="1:7" x14ac:dyDescent="0.25">
      <c r="A35" s="80">
        <v>21</v>
      </c>
      <c r="B35" s="94">
        <v>40452</v>
      </c>
      <c r="C35" s="81">
        <f t="shared" si="1"/>
        <v>30</v>
      </c>
      <c r="D35" s="82">
        <f t="shared" si="2"/>
        <v>0</v>
      </c>
      <c r="E35" s="82">
        <f t="shared" si="3"/>
        <v>-4.1421664614946971</v>
      </c>
      <c r="F35" s="83">
        <f t="shared" si="0"/>
        <v>4.1421664614946971</v>
      </c>
      <c r="G35" s="83">
        <f t="shared" si="4"/>
        <v>-1084.7073303296766</v>
      </c>
    </row>
    <row r="36" spans="1:7" x14ac:dyDescent="0.25">
      <c r="A36" s="80">
        <v>22</v>
      </c>
      <c r="B36" s="94">
        <v>40483</v>
      </c>
      <c r="C36" s="81">
        <f t="shared" si="1"/>
        <v>31</v>
      </c>
      <c r="D36" s="82">
        <f t="shared" si="2"/>
        <v>0</v>
      </c>
      <c r="E36" s="82">
        <f t="shared" si="3"/>
        <v>-4.2966462584725527</v>
      </c>
      <c r="F36" s="83">
        <f t="shared" si="0"/>
        <v>4.2966462584725527</v>
      </c>
      <c r="G36" s="83">
        <f t="shared" si="4"/>
        <v>-1089.003976588149</v>
      </c>
    </row>
    <row r="37" spans="1:7" x14ac:dyDescent="0.25">
      <c r="A37" s="80">
        <v>23</v>
      </c>
      <c r="B37" s="94">
        <v>40513</v>
      </c>
      <c r="C37" s="81">
        <f t="shared" si="1"/>
        <v>30</v>
      </c>
      <c r="D37" s="82">
        <f t="shared" si="2"/>
        <v>0</v>
      </c>
      <c r="E37" s="82">
        <f t="shared" si="3"/>
        <v>-4.174515243587904</v>
      </c>
      <c r="F37" s="83">
        <f t="shared" si="0"/>
        <v>4.174515243587904</v>
      </c>
      <c r="G37" s="83">
        <f t="shared" si="4"/>
        <v>-1093.1784918317369</v>
      </c>
    </row>
    <row r="38" spans="1:7" x14ac:dyDescent="0.25">
      <c r="A38" s="80">
        <v>24</v>
      </c>
      <c r="B38" s="94">
        <v>40544</v>
      </c>
      <c r="C38" s="81">
        <f t="shared" si="1"/>
        <v>31</v>
      </c>
      <c r="D38" s="82">
        <f t="shared" si="2"/>
        <v>0</v>
      </c>
      <c r="E38" s="82">
        <f t="shared" si="3"/>
        <v>-4.3302014704223799</v>
      </c>
      <c r="F38" s="83">
        <f t="shared" si="0"/>
        <v>4.3302014704223799</v>
      </c>
      <c r="G38" s="83">
        <f t="shared" si="4"/>
        <v>-1097.5086933021594</v>
      </c>
    </row>
    <row r="39" spans="1:7" x14ac:dyDescent="0.25">
      <c r="A39" s="80">
        <v>25</v>
      </c>
      <c r="B39" s="94">
        <v>40575</v>
      </c>
      <c r="C39" s="81">
        <f t="shared" si="1"/>
        <v>31</v>
      </c>
      <c r="D39" s="82">
        <f t="shared" si="2"/>
        <v>0</v>
      </c>
      <c r="E39" s="82">
        <f t="shared" si="3"/>
        <v>-4.3473538795802202</v>
      </c>
      <c r="F39" s="83">
        <f t="shared" si="0"/>
        <v>4.3473538795802202</v>
      </c>
      <c r="G39" s="83">
        <f t="shared" si="4"/>
        <v>-1101.8560471817395</v>
      </c>
    </row>
    <row r="40" spans="1:7" x14ac:dyDescent="0.25">
      <c r="A40" s="80">
        <v>26</v>
      </c>
      <c r="B40" s="94">
        <v>40603</v>
      </c>
      <c r="C40" s="81">
        <f t="shared" si="1"/>
        <v>28</v>
      </c>
      <c r="D40" s="82">
        <f t="shared" si="2"/>
        <v>0</v>
      </c>
      <c r="E40" s="82">
        <f t="shared" si="3"/>
        <v>-3.94219607991689</v>
      </c>
      <c r="F40" s="83">
        <f t="shared" si="0"/>
        <v>3.94219607991689</v>
      </c>
      <c r="G40" s="83">
        <f t="shared" si="4"/>
        <v>-1105.7982432616564</v>
      </c>
    </row>
    <row r="41" spans="1:7" x14ac:dyDescent="0.25">
      <c r="A41" s="80">
        <v>27</v>
      </c>
      <c r="B41" s="94">
        <v>40634</v>
      </c>
      <c r="C41" s="81">
        <f t="shared" si="1"/>
        <v>31</v>
      </c>
      <c r="D41" s="82">
        <f t="shared" si="2"/>
        <v>0</v>
      </c>
      <c r="E41" s="82">
        <f t="shared" si="3"/>
        <v>-4.380189708030894</v>
      </c>
      <c r="F41" s="83">
        <f t="shared" si="0"/>
        <v>4.380189708030894</v>
      </c>
      <c r="G41" s="83">
        <f t="shared" si="4"/>
        <v>-1110.1784329696873</v>
      </c>
    </row>
    <row r="42" spans="1:7" x14ac:dyDescent="0.25">
      <c r="A42" s="80">
        <v>28</v>
      </c>
      <c r="B42" s="94">
        <v>40664</v>
      </c>
      <c r="C42" s="81">
        <f t="shared" si="1"/>
        <v>30</v>
      </c>
      <c r="D42" s="82">
        <f t="shared" si="2"/>
        <v>0</v>
      </c>
      <c r="E42" s="82">
        <f t="shared" si="3"/>
        <v>-4.255683993050468</v>
      </c>
      <c r="F42" s="83">
        <f t="shared" si="0"/>
        <v>4.255683993050468</v>
      </c>
      <c r="G42" s="83">
        <f t="shared" si="4"/>
        <v>-1114.4341169627378</v>
      </c>
    </row>
    <row r="43" spans="1:7" x14ac:dyDescent="0.25">
      <c r="A43" s="80">
        <v>29</v>
      </c>
      <c r="B43" s="94">
        <v>40695</v>
      </c>
      <c r="C43" s="81">
        <f t="shared" si="1"/>
        <v>31</v>
      </c>
      <c r="D43" s="82">
        <f t="shared" si="2"/>
        <v>0</v>
      </c>
      <c r="E43" s="82">
        <f t="shared" si="3"/>
        <v>-4.4143973633023998</v>
      </c>
      <c r="F43" s="83">
        <f t="shared" si="0"/>
        <v>4.4143973633023998</v>
      </c>
      <c r="G43" s="83">
        <f t="shared" si="4"/>
        <v>-1118.8485143260402</v>
      </c>
    </row>
    <row r="44" spans="1:7" x14ac:dyDescent="0.25">
      <c r="A44" s="80">
        <v>30</v>
      </c>
      <c r="B44" s="94">
        <v>40725</v>
      </c>
      <c r="C44" s="81">
        <f t="shared" si="1"/>
        <v>30</v>
      </c>
      <c r="D44" s="82">
        <f t="shared" si="2"/>
        <v>0</v>
      </c>
      <c r="E44" s="82">
        <f t="shared" si="3"/>
        <v>-4.2889193049164875</v>
      </c>
      <c r="F44" s="83">
        <f t="shared" si="0"/>
        <v>4.2889193049164875</v>
      </c>
      <c r="G44" s="83">
        <f t="shared" si="4"/>
        <v>-1123.1374336309568</v>
      </c>
    </row>
    <row r="45" spans="1:7" x14ac:dyDescent="0.25">
      <c r="A45" s="80">
        <v>31</v>
      </c>
      <c r="B45" s="94">
        <v>40756</v>
      </c>
      <c r="C45" s="81">
        <f t="shared" si="1"/>
        <v>31</v>
      </c>
      <c r="D45" s="82">
        <f t="shared" si="2"/>
        <v>0</v>
      </c>
      <c r="E45" s="82">
        <f t="shared" si="3"/>
        <v>-4.4488721676604008</v>
      </c>
      <c r="F45" s="83">
        <f t="shared" si="0"/>
        <v>4.4488721676604008</v>
      </c>
      <c r="G45" s="83">
        <f t="shared" si="4"/>
        <v>-1127.5863057986173</v>
      </c>
    </row>
    <row r="46" spans="1:7" x14ac:dyDescent="0.25">
      <c r="A46" s="80">
        <v>32</v>
      </c>
      <c r="B46" s="94">
        <v>40787</v>
      </c>
      <c r="C46" s="81">
        <f t="shared" si="1"/>
        <v>31</v>
      </c>
      <c r="D46" s="82">
        <f t="shared" si="2"/>
        <v>0</v>
      </c>
      <c r="E46" s="82">
        <f t="shared" si="3"/>
        <v>-4.4664946446356337</v>
      </c>
      <c r="F46" s="83">
        <f t="shared" si="0"/>
        <v>4.4664946446356337</v>
      </c>
      <c r="G46" s="83">
        <f t="shared" si="4"/>
        <v>-1132.0528004432529</v>
      </c>
    </row>
    <row r="47" spans="1:7" x14ac:dyDescent="0.25">
      <c r="A47" s="80">
        <v>33</v>
      </c>
      <c r="B47" s="94">
        <v>40817</v>
      </c>
      <c r="C47" s="81">
        <f t="shared" si="1"/>
        <v>30</v>
      </c>
      <c r="D47" s="82">
        <f t="shared" si="2"/>
        <v>0</v>
      </c>
      <c r="E47" s="82">
        <f t="shared" si="3"/>
        <v>-4.3395357350324693</v>
      </c>
      <c r="F47" s="83">
        <f t="shared" si="0"/>
        <v>4.3395357350324693</v>
      </c>
      <c r="G47" s="83">
        <f t="shared" si="4"/>
        <v>-1136.3923361782854</v>
      </c>
    </row>
    <row r="48" spans="1:7" x14ac:dyDescent="0.25">
      <c r="A48" s="80">
        <v>34</v>
      </c>
      <c r="B48" s="94">
        <v>40848</v>
      </c>
      <c r="C48" s="81">
        <f t="shared" si="1"/>
        <v>31</v>
      </c>
      <c r="D48" s="82">
        <f t="shared" si="2"/>
        <v>0</v>
      </c>
      <c r="E48" s="82">
        <f t="shared" si="3"/>
        <v>-4.5013763094173189</v>
      </c>
      <c r="F48" s="83">
        <f t="shared" si="0"/>
        <v>4.5013763094173189</v>
      </c>
      <c r="G48" s="83">
        <f t="shared" si="4"/>
        <v>-1140.8937124877027</v>
      </c>
    </row>
    <row r="49" spans="1:7" x14ac:dyDescent="0.25">
      <c r="A49" s="80">
        <v>35</v>
      </c>
      <c r="B49" s="94">
        <v>40878</v>
      </c>
      <c r="C49" s="81">
        <f t="shared" si="1"/>
        <v>30</v>
      </c>
      <c r="D49" s="82">
        <f t="shared" si="2"/>
        <v>0</v>
      </c>
      <c r="E49" s="82">
        <f t="shared" si="3"/>
        <v>-4.3734258978695273</v>
      </c>
      <c r="F49" s="83">
        <f t="shared" si="0"/>
        <v>4.3734258978695273</v>
      </c>
      <c r="G49" s="83">
        <f t="shared" si="4"/>
        <v>-1145.2671383855723</v>
      </c>
    </row>
    <row r="50" spans="1:7" x14ac:dyDescent="0.25">
      <c r="A50" s="80">
        <v>36</v>
      </c>
      <c r="B50" s="94">
        <v>40909</v>
      </c>
      <c r="C50" s="81">
        <f t="shared" si="1"/>
        <v>31</v>
      </c>
      <c r="D50" s="82">
        <f t="shared" si="2"/>
        <v>0</v>
      </c>
      <c r="E50" s="82">
        <f t="shared" si="3"/>
        <v>-4.5365303870495168</v>
      </c>
      <c r="F50" s="83">
        <f t="shared" si="0"/>
        <v>4.5365303870495168</v>
      </c>
      <c r="G50" s="83">
        <f t="shared" si="4"/>
        <v>-1149.8036687726217</v>
      </c>
    </row>
    <row r="51" spans="1:7" x14ac:dyDescent="0.25">
      <c r="A51" s="80">
        <v>37</v>
      </c>
      <c r="B51" s="94">
        <v>40940</v>
      </c>
      <c r="C51" s="81">
        <f t="shared" si="1"/>
        <v>31</v>
      </c>
      <c r="D51" s="82">
        <f t="shared" si="2"/>
        <v>0</v>
      </c>
      <c r="E51" s="82">
        <f t="shared" si="3"/>
        <v>-4.5545000879715518</v>
      </c>
      <c r="F51" s="83">
        <f t="shared" si="0"/>
        <v>4.5545000879715518</v>
      </c>
      <c r="G51" s="83">
        <f t="shared" si="4"/>
        <v>-1154.3581688605932</v>
      </c>
    </row>
    <row r="52" spans="1:7" x14ac:dyDescent="0.25">
      <c r="A52" s="80">
        <v>38</v>
      </c>
      <c r="B52" s="94">
        <v>40969</v>
      </c>
      <c r="C52" s="81">
        <f t="shared" si="1"/>
        <v>29</v>
      </c>
      <c r="D52" s="82">
        <f t="shared" si="2"/>
        <v>0</v>
      </c>
      <c r="E52" s="82">
        <f t="shared" si="3"/>
        <v>-4.2775383257223094</v>
      </c>
      <c r="F52" s="83">
        <f t="shared" si="0"/>
        <v>4.2775383257223094</v>
      </c>
      <c r="G52" s="83">
        <f t="shared" si="4"/>
        <v>-1158.6357071863156</v>
      </c>
    </row>
    <row r="53" spans="1:7" x14ac:dyDescent="0.25">
      <c r="A53" s="80">
        <v>39</v>
      </c>
      <c r="B53" s="94">
        <v>41000</v>
      </c>
      <c r="C53" s="81">
        <f t="shared" si="1"/>
        <v>31</v>
      </c>
      <c r="D53" s="82">
        <f t="shared" si="2"/>
        <v>0</v>
      </c>
      <c r="E53" s="82">
        <f t="shared" si="3"/>
        <v>-4.5894847734657942</v>
      </c>
      <c r="F53" s="83">
        <f t="shared" si="0"/>
        <v>4.5894847734657942</v>
      </c>
      <c r="G53" s="83">
        <f t="shared" si="4"/>
        <v>-1163.2251919597813</v>
      </c>
    </row>
    <row r="54" spans="1:7" x14ac:dyDescent="0.25">
      <c r="A54" s="80">
        <v>40</v>
      </c>
      <c r="B54" s="94">
        <v>41030</v>
      </c>
      <c r="C54" s="81">
        <f t="shared" si="1"/>
        <v>30</v>
      </c>
      <c r="D54" s="82">
        <f t="shared" si="2"/>
        <v>0</v>
      </c>
      <c r="E54" s="82">
        <f t="shared" si="3"/>
        <v>-4.4590299025124942</v>
      </c>
      <c r="F54" s="83">
        <f t="shared" si="0"/>
        <v>4.4590299025124942</v>
      </c>
      <c r="G54" s="83">
        <f t="shared" si="4"/>
        <v>-1167.6842218622937</v>
      </c>
    </row>
    <row r="55" spans="1:7" x14ac:dyDescent="0.25">
      <c r="A55" s="80">
        <v>41</v>
      </c>
      <c r="B55" s="94">
        <v>41061</v>
      </c>
      <c r="C55" s="81">
        <f t="shared" si="1"/>
        <v>31</v>
      </c>
      <c r="D55" s="82">
        <f t="shared" si="2"/>
        <v>0</v>
      </c>
      <c r="E55" s="82">
        <f t="shared" si="3"/>
        <v>-4.6253269454878634</v>
      </c>
      <c r="F55" s="83">
        <f t="shared" si="0"/>
        <v>4.6253269454878634</v>
      </c>
      <c r="G55" s="83">
        <f t="shared" si="4"/>
        <v>-1172.3095488077815</v>
      </c>
    </row>
    <row r="56" spans="1:7" x14ac:dyDescent="0.25">
      <c r="A56" s="80">
        <v>42</v>
      </c>
      <c r="B56" s="94">
        <v>41091</v>
      </c>
      <c r="C56" s="81">
        <f t="shared" si="1"/>
        <v>30</v>
      </c>
      <c r="D56" s="82">
        <f t="shared" si="2"/>
        <v>0</v>
      </c>
      <c r="E56" s="82">
        <f t="shared" si="3"/>
        <v>-4.4938532704298293</v>
      </c>
      <c r="F56" s="83">
        <f t="shared" si="0"/>
        <v>4.4938532704298293</v>
      </c>
      <c r="G56" s="83">
        <f t="shared" si="4"/>
        <v>-1176.8034020782113</v>
      </c>
    </row>
    <row r="57" spans="1:7" x14ac:dyDescent="0.25">
      <c r="A57" s="80">
        <v>43</v>
      </c>
      <c r="B57" s="94">
        <v>41122</v>
      </c>
      <c r="C57" s="81">
        <f t="shared" si="1"/>
        <v>31</v>
      </c>
      <c r="D57" s="82">
        <f t="shared" si="2"/>
        <v>0</v>
      </c>
      <c r="E57" s="82">
        <f t="shared" si="3"/>
        <v>-4.6614490315653594</v>
      </c>
      <c r="F57" s="83">
        <f t="shared" si="0"/>
        <v>4.6614490315653594</v>
      </c>
      <c r="G57" s="83">
        <f t="shared" si="4"/>
        <v>-1181.4648511097766</v>
      </c>
    </row>
    <row r="58" spans="1:7" x14ac:dyDescent="0.25">
      <c r="A58" s="80">
        <v>44</v>
      </c>
      <c r="B58" s="94">
        <v>41153</v>
      </c>
      <c r="C58" s="81">
        <f t="shared" si="1"/>
        <v>31</v>
      </c>
      <c r="D58" s="82">
        <f t="shared" si="2"/>
        <v>0</v>
      </c>
      <c r="E58" s="82">
        <f t="shared" si="3"/>
        <v>-4.6799135491181705</v>
      </c>
      <c r="F58" s="83">
        <f t="shared" si="0"/>
        <v>4.6799135491181705</v>
      </c>
      <c r="G58" s="83">
        <f t="shared" si="4"/>
        <v>-1186.1447646588949</v>
      </c>
    </row>
    <row r="59" spans="1:7" x14ac:dyDescent="0.25">
      <c r="A59" s="80">
        <v>45</v>
      </c>
      <c r="B59" s="94">
        <v>41183</v>
      </c>
      <c r="C59" s="81">
        <f t="shared" si="1"/>
        <v>30</v>
      </c>
      <c r="D59" s="82">
        <f t="shared" si="2"/>
        <v>0</v>
      </c>
      <c r="E59" s="82">
        <f t="shared" si="3"/>
        <v>-4.546888264525764</v>
      </c>
      <c r="F59" s="83">
        <f t="shared" si="0"/>
        <v>4.546888264525764</v>
      </c>
      <c r="G59" s="83">
        <f t="shared" si="4"/>
        <v>-1190.6916529234206</v>
      </c>
    </row>
    <row r="60" spans="1:7" x14ac:dyDescent="0.25">
      <c r="A60" s="80">
        <v>46</v>
      </c>
      <c r="B60" s="94">
        <v>41214</v>
      </c>
      <c r="C60" s="81">
        <f t="shared" si="1"/>
        <v>31</v>
      </c>
      <c r="D60" s="82">
        <f t="shared" si="2"/>
        <v>0</v>
      </c>
      <c r="E60" s="82">
        <f t="shared" si="3"/>
        <v>-4.716461936302216</v>
      </c>
      <c r="F60" s="83">
        <f t="shared" si="0"/>
        <v>4.716461936302216</v>
      </c>
      <c r="G60" s="83">
        <f t="shared" si="4"/>
        <v>-1195.4081148597229</v>
      </c>
    </row>
    <row r="61" spans="1:7" x14ac:dyDescent="0.25">
      <c r="A61" s="80">
        <v>47</v>
      </c>
      <c r="B61" s="94">
        <v>41244</v>
      </c>
      <c r="C61" s="81">
        <f t="shared" si="1"/>
        <v>30</v>
      </c>
      <c r="D61" s="82">
        <f t="shared" si="2"/>
        <v>0</v>
      </c>
      <c r="E61" s="82">
        <f t="shared" si="3"/>
        <v>-4.5823977736289372</v>
      </c>
      <c r="F61" s="83">
        <f t="shared" si="0"/>
        <v>4.5823977736289372</v>
      </c>
      <c r="G61" s="83">
        <f t="shared" si="4"/>
        <v>-1199.9905126333517</v>
      </c>
    </row>
    <row r="62" spans="1:7" x14ac:dyDescent="0.25">
      <c r="A62" s="80">
        <v>48</v>
      </c>
      <c r="B62" s="94">
        <v>41275</v>
      </c>
      <c r="C62" s="81">
        <f t="shared" si="1"/>
        <v>31</v>
      </c>
      <c r="D62" s="82">
        <f t="shared" si="2"/>
        <v>0</v>
      </c>
      <c r="E62" s="82">
        <f t="shared" si="3"/>
        <v>-4.7532957528198869</v>
      </c>
      <c r="F62" s="83">
        <f t="shared" si="0"/>
        <v>4.7532957528198869</v>
      </c>
      <c r="G62" s="83">
        <f t="shared" si="4"/>
        <v>-1204.7438083861716</v>
      </c>
    </row>
    <row r="63" spans="1:7" x14ac:dyDescent="0.25">
      <c r="A63" s="80">
        <v>49</v>
      </c>
      <c r="B63" s="94">
        <v>41306</v>
      </c>
      <c r="C63" s="81">
        <f t="shared" si="1"/>
        <v>31</v>
      </c>
      <c r="D63" s="82">
        <f t="shared" si="2"/>
        <v>0</v>
      </c>
      <c r="E63" s="82">
        <f t="shared" si="3"/>
        <v>-4.7721240854407796</v>
      </c>
      <c r="F63" s="83">
        <f t="shared" si="0"/>
        <v>4.7721240854407796</v>
      </c>
      <c r="G63" s="83">
        <f t="shared" si="4"/>
        <v>-1209.5159324716124</v>
      </c>
    </row>
    <row r="64" spans="1:7" x14ac:dyDescent="0.25">
      <c r="A64" s="80">
        <v>50</v>
      </c>
      <c r="B64" s="94">
        <v>41334</v>
      </c>
      <c r="C64" s="81">
        <f t="shared" si="1"/>
        <v>28</v>
      </c>
      <c r="D64" s="82">
        <f t="shared" si="2"/>
        <v>0</v>
      </c>
      <c r="E64" s="82">
        <f t="shared" si="3"/>
        <v>-4.3273792250651022</v>
      </c>
      <c r="F64" s="83">
        <f t="shared" si="0"/>
        <v>4.3273792250651022</v>
      </c>
      <c r="G64" s="83">
        <f t="shared" si="4"/>
        <v>-1213.8433116966776</v>
      </c>
    </row>
    <row r="65" spans="1:13" x14ac:dyDescent="0.25">
      <c r="A65" s="80">
        <v>51</v>
      </c>
      <c r="B65" s="94">
        <v>41365</v>
      </c>
      <c r="C65" s="81">
        <f t="shared" si="1"/>
        <v>31</v>
      </c>
      <c r="D65" s="82">
        <f t="shared" si="2"/>
        <v>0</v>
      </c>
      <c r="E65" s="82">
        <f t="shared" si="3"/>
        <v>-4.8081682291096168</v>
      </c>
      <c r="F65" s="83">
        <f t="shared" si="0"/>
        <v>4.8081682291096168</v>
      </c>
      <c r="G65" s="83">
        <f t="shared" si="4"/>
        <v>-1218.6514799257873</v>
      </c>
    </row>
    <row r="66" spans="1:13" x14ac:dyDescent="0.25">
      <c r="A66" s="80">
        <v>52</v>
      </c>
      <c r="B66" s="94">
        <v>41395</v>
      </c>
      <c r="C66" s="81">
        <f t="shared" si="1"/>
        <v>30</v>
      </c>
      <c r="D66" s="82">
        <f t="shared" si="2"/>
        <v>0</v>
      </c>
      <c r="E66" s="82">
        <f t="shared" si="3"/>
        <v>-4.6714973397155175</v>
      </c>
      <c r="F66" s="83">
        <f t="shared" si="0"/>
        <v>4.6714973397155175</v>
      </c>
      <c r="G66" s="83">
        <f t="shared" si="4"/>
        <v>-1223.3229772655027</v>
      </c>
    </row>
    <row r="67" spans="1:13" x14ac:dyDescent="0.25">
      <c r="A67" s="80">
        <v>53</v>
      </c>
      <c r="B67" s="94">
        <v>41426</v>
      </c>
      <c r="C67" s="81">
        <f t="shared" si="1"/>
        <v>31</v>
      </c>
      <c r="D67" s="82">
        <f t="shared" si="2"/>
        <v>0</v>
      </c>
      <c r="E67" s="82">
        <f t="shared" si="3"/>
        <v>-4.8457182377239079</v>
      </c>
      <c r="F67" s="83">
        <f t="shared" si="0"/>
        <v>4.8457182377239079</v>
      </c>
      <c r="G67" s="83">
        <f t="shared" si="4"/>
        <v>-1228.1686955032267</v>
      </c>
    </row>
    <row r="68" spans="1:13" x14ac:dyDescent="0.25">
      <c r="A68" s="80">
        <v>54</v>
      </c>
      <c r="B68" s="94">
        <v>41456</v>
      </c>
      <c r="C68" s="81">
        <f t="shared" si="1"/>
        <v>30</v>
      </c>
      <c r="D68" s="82">
        <f t="shared" si="2"/>
        <v>0</v>
      </c>
      <c r="E68" s="82">
        <f t="shared" si="3"/>
        <v>-4.7079799994290354</v>
      </c>
      <c r="F68" s="83">
        <f t="shared" si="0"/>
        <v>4.7079799994290354</v>
      </c>
      <c r="G68" s="83">
        <f t="shared" si="4"/>
        <v>-1232.8766755026556</v>
      </c>
    </row>
    <row r="69" spans="1:13" x14ac:dyDescent="0.25">
      <c r="A69" s="80">
        <v>55</v>
      </c>
      <c r="B69" s="94">
        <v>41487</v>
      </c>
      <c r="C69" s="81">
        <f t="shared" si="1"/>
        <v>31</v>
      </c>
      <c r="D69" s="82">
        <f t="shared" si="2"/>
        <v>0</v>
      </c>
      <c r="E69" s="82">
        <f t="shared" si="3"/>
        <v>-4.8835614979632975</v>
      </c>
      <c r="F69" s="83">
        <f t="shared" si="0"/>
        <v>4.8835614979632975</v>
      </c>
      <c r="G69" s="83">
        <f t="shared" si="4"/>
        <v>-1237.7602370006189</v>
      </c>
    </row>
    <row r="70" spans="1:13" x14ac:dyDescent="0.25">
      <c r="A70" s="80">
        <v>56</v>
      </c>
      <c r="B70" s="94">
        <v>41518</v>
      </c>
      <c r="C70" s="81">
        <f t="shared" si="1"/>
        <v>31</v>
      </c>
      <c r="D70" s="82">
        <f t="shared" si="2"/>
        <v>0</v>
      </c>
      <c r="E70" s="82">
        <f t="shared" si="3"/>
        <v>-4.9029058276746742</v>
      </c>
      <c r="F70" s="83">
        <f t="shared" si="0"/>
        <v>4.9029058276746742</v>
      </c>
      <c r="G70" s="83">
        <f t="shared" si="4"/>
        <v>-1242.6631428282935</v>
      </c>
    </row>
    <row r="71" spans="1:13" x14ac:dyDescent="0.25">
      <c r="A71" s="80">
        <v>57</v>
      </c>
      <c r="B71" s="94">
        <v>41548</v>
      </c>
      <c r="C71" s="81">
        <f t="shared" si="1"/>
        <v>30</v>
      </c>
      <c r="D71" s="82">
        <f t="shared" si="2"/>
        <v>0</v>
      </c>
      <c r="E71" s="82">
        <f t="shared" si="3"/>
        <v>-4.7635420475084587</v>
      </c>
      <c r="F71" s="83">
        <f t="shared" si="0"/>
        <v>4.7635420475084587</v>
      </c>
      <c r="G71" s="83">
        <f t="shared" si="4"/>
        <v>-1247.426684875802</v>
      </c>
    </row>
    <row r="72" spans="1:13" x14ac:dyDescent="0.25">
      <c r="A72" s="80">
        <v>58</v>
      </c>
      <c r="B72" s="94">
        <v>41579</v>
      </c>
      <c r="C72" s="81">
        <f t="shared" si="1"/>
        <v>31</v>
      </c>
      <c r="D72" s="82">
        <f t="shared" si="2"/>
        <v>0</v>
      </c>
      <c r="E72" s="82">
        <f t="shared" si="3"/>
        <v>-4.9411957017580379</v>
      </c>
      <c r="F72" s="83">
        <f t="shared" si="0"/>
        <v>4.9411957017580379</v>
      </c>
      <c r="G72" s="83">
        <f t="shared" si="4"/>
        <v>-1252.3678805775601</v>
      </c>
    </row>
    <row r="73" spans="1:13" x14ac:dyDescent="0.25">
      <c r="A73" s="80">
        <v>59</v>
      </c>
      <c r="B73" s="94">
        <v>41609</v>
      </c>
      <c r="C73" s="81">
        <f t="shared" si="1"/>
        <v>30</v>
      </c>
      <c r="D73" s="82">
        <f t="shared" si="2"/>
        <v>0</v>
      </c>
      <c r="E73" s="82">
        <f t="shared" si="3"/>
        <v>-4.8007435422139801</v>
      </c>
      <c r="F73" s="83">
        <f t="shared" si="0"/>
        <v>4.8007435422139801</v>
      </c>
      <c r="G73" s="84">
        <f t="shared" si="4"/>
        <v>-1257.168624119774</v>
      </c>
    </row>
    <row r="74" spans="1:13" x14ac:dyDescent="0.25">
      <c r="A74" s="78" t="s">
        <v>95</v>
      </c>
      <c r="B74" s="85">
        <v>41640</v>
      </c>
      <c r="C74" s="68"/>
      <c r="D74" s="86">
        <f>E6</f>
        <v>0</v>
      </c>
      <c r="E74" s="78"/>
      <c r="F74" s="86">
        <f t="shared" si="0"/>
        <v>0</v>
      </c>
      <c r="G74" s="86">
        <f>ROUND(ABS(G73-F74),0)</f>
        <v>1257</v>
      </c>
    </row>
    <row r="78" spans="1:13" x14ac:dyDescent="0.25">
      <c r="K78" s="87"/>
    </row>
    <row r="79" spans="1:13" x14ac:dyDescent="0.25">
      <c r="K79" s="88"/>
      <c r="M79" s="89"/>
    </row>
    <row r="80" spans="1:13" x14ac:dyDescent="0.25">
      <c r="B80" s="90"/>
      <c r="L80" s="88"/>
    </row>
    <row r="81" spans="2:2" x14ac:dyDescent="0.25">
      <c r="B81" s="90"/>
    </row>
    <row r="83" spans="2:2" x14ac:dyDescent="0.25">
      <c r="B83" s="91"/>
    </row>
    <row r="85" spans="2:2" x14ac:dyDescent="0.25">
      <c r="B85" s="91"/>
    </row>
  </sheetData>
  <phoneticPr fontId="7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O109"/>
  <sheetViews>
    <sheetView workbookViewId="0">
      <selection activeCell="B6" sqref="B6"/>
    </sheetView>
  </sheetViews>
  <sheetFormatPr defaultRowHeight="15.75" x14ac:dyDescent="0.25"/>
  <cols>
    <col min="1" max="1" width="12.375" customWidth="1"/>
    <col min="2" max="2" width="12.625" style="149" bestFit="1" customWidth="1"/>
    <col min="3" max="3" width="9" style="149" bestFit="1"/>
    <col min="4" max="4" width="12.625" bestFit="1" customWidth="1"/>
    <col min="5" max="5" width="12.75" customWidth="1"/>
    <col min="6" max="6" width="11.5" bestFit="1" customWidth="1"/>
    <col min="7" max="7" width="12.875" bestFit="1" customWidth="1"/>
    <col min="8" max="8" width="9.25" bestFit="1" customWidth="1"/>
    <col min="11" max="11" width="10.125" bestFit="1" customWidth="1"/>
    <col min="12" max="12" width="9.375" bestFit="1" customWidth="1"/>
    <col min="14" max="14" width="22.75" bestFit="1" customWidth="1"/>
  </cols>
  <sheetData>
    <row r="1" spans="1:15" s="28" customFormat="1" ht="20.25" x14ac:dyDescent="0.25">
      <c r="A1" s="51" t="s">
        <v>175</v>
      </c>
      <c r="B1" s="52"/>
      <c r="C1" s="52"/>
      <c r="D1" s="53"/>
      <c r="E1" s="53"/>
    </row>
    <row r="2" spans="1:15" s="28" customFormat="1" x14ac:dyDescent="0.25">
      <c r="A2" s="53"/>
      <c r="B2" s="52"/>
      <c r="C2" s="52"/>
      <c r="D2" s="53"/>
      <c r="E2" s="53"/>
    </row>
    <row r="3" spans="1:15" s="28" customFormat="1" ht="19.5" customHeight="1" x14ac:dyDescent="0.25">
      <c r="A3" s="54" t="s">
        <v>87</v>
      </c>
      <c r="B3" s="92">
        <v>0</v>
      </c>
      <c r="C3" s="56"/>
      <c r="D3" s="57" t="s">
        <v>88</v>
      </c>
      <c r="E3" s="55">
        <v>1000</v>
      </c>
      <c r="J3" s="53"/>
      <c r="K3" s="58"/>
    </row>
    <row r="4" spans="1:15" s="28" customFormat="1" ht="25.5" x14ac:dyDescent="0.25">
      <c r="A4" s="57" t="s">
        <v>89</v>
      </c>
      <c r="B4" s="55">
        <f>10%*B3</f>
        <v>0</v>
      </c>
      <c r="C4" s="56"/>
      <c r="D4" s="57" t="s">
        <v>90</v>
      </c>
      <c r="E4" s="55">
        <f>+B3-B4-E3</f>
        <v>-1000</v>
      </c>
      <c r="J4" s="59"/>
      <c r="K4" s="53"/>
    </row>
    <row r="5" spans="1:15" s="28" customFormat="1" ht="25.5" x14ac:dyDescent="0.25">
      <c r="A5" s="57" t="s">
        <v>91</v>
      </c>
      <c r="B5" s="92">
        <v>0</v>
      </c>
      <c r="C5" s="56"/>
      <c r="D5" s="57" t="s">
        <v>92</v>
      </c>
      <c r="E5" s="60"/>
      <c r="F5" s="61"/>
      <c r="G5" s="62" t="s">
        <v>93</v>
      </c>
      <c r="H5" s="63">
        <f>B5*12</f>
        <v>0</v>
      </c>
      <c r="J5" s="59"/>
      <c r="K5" s="58"/>
    </row>
    <row r="6" spans="1:15" s="28" customFormat="1" ht="20.100000000000001" customHeight="1" x14ac:dyDescent="0.25">
      <c r="A6" s="57" t="s">
        <v>94</v>
      </c>
      <c r="B6" s="64">
        <v>39814</v>
      </c>
      <c r="C6" s="56"/>
      <c r="D6" s="57" t="s">
        <v>95</v>
      </c>
      <c r="E6" s="55">
        <f>1%*B3</f>
        <v>0</v>
      </c>
      <c r="F6" s="65"/>
      <c r="J6" s="59"/>
      <c r="K6" s="66"/>
    </row>
    <row r="7" spans="1:15" s="28" customFormat="1" ht="25.5" x14ac:dyDescent="0.25">
      <c r="A7" s="57" t="s">
        <v>118</v>
      </c>
      <c r="B7" s="67"/>
      <c r="C7" s="56" t="s">
        <v>119</v>
      </c>
      <c r="D7" s="57" t="s">
        <v>120</v>
      </c>
      <c r="E7" s="68">
        <v>365</v>
      </c>
      <c r="J7" s="59"/>
      <c r="K7" s="66"/>
    </row>
    <row r="8" spans="1:15" s="28" customFormat="1" x14ac:dyDescent="0.25">
      <c r="A8" s="59"/>
      <c r="B8" s="69"/>
      <c r="C8" s="56"/>
      <c r="D8" s="70"/>
      <c r="E8" s="70"/>
    </row>
    <row r="9" spans="1:15" s="28" customFormat="1" x14ac:dyDescent="0.25">
      <c r="A9" s="71" t="s">
        <v>98</v>
      </c>
      <c r="B9" s="69"/>
      <c r="C9" s="56"/>
      <c r="D9" s="70"/>
      <c r="E9" s="70"/>
    </row>
    <row r="10" spans="1:15" s="28" customFormat="1" x14ac:dyDescent="0.25">
      <c r="A10" s="59"/>
      <c r="B10" s="72"/>
      <c r="C10" s="56"/>
      <c r="D10" s="70"/>
      <c r="E10" s="53"/>
      <c r="N10" t="s">
        <v>99</v>
      </c>
      <c r="O10">
        <v>1</v>
      </c>
    </row>
    <row r="11" spans="1:15" s="28" customFormat="1" x14ac:dyDescent="0.25">
      <c r="A11" s="53"/>
      <c r="B11" s="67" t="s">
        <v>102</v>
      </c>
      <c r="C11" s="72"/>
      <c r="D11" s="73" t="s">
        <v>103</v>
      </c>
      <c r="E11" s="53"/>
      <c r="N11" t="s">
        <v>100</v>
      </c>
      <c r="O11" t="s">
        <v>101</v>
      </c>
    </row>
    <row r="12" spans="1:15" s="28" customFormat="1" x14ac:dyDescent="0.25">
      <c r="A12" s="54" t="s">
        <v>106</v>
      </c>
      <c r="B12" s="74">
        <f>E12+G12</f>
        <v>4.5999999999999999E-2</v>
      </c>
      <c r="C12" s="52"/>
      <c r="D12" s="75" t="s">
        <v>107</v>
      </c>
      <c r="E12" s="76">
        <v>2.8000000000000001E-2</v>
      </c>
      <c r="F12" s="77" t="s">
        <v>108</v>
      </c>
      <c r="G12" s="76">
        <v>1.7999999999999999E-2</v>
      </c>
      <c r="N12" t="s">
        <v>104</v>
      </c>
      <c r="O12" t="s">
        <v>105</v>
      </c>
    </row>
    <row r="13" spans="1:15" x14ac:dyDescent="0.25">
      <c r="A13" s="138"/>
      <c r="B13" s="138"/>
      <c r="C13" s="139"/>
      <c r="D13" s="139"/>
      <c r="E13" s="138"/>
      <c r="F13" s="138"/>
      <c r="N13" t="s">
        <v>109</v>
      </c>
      <c r="O13" t="s">
        <v>159</v>
      </c>
    </row>
    <row r="14" spans="1:15" x14ac:dyDescent="0.25">
      <c r="A14" s="140"/>
      <c r="B14" s="141" t="s">
        <v>111</v>
      </c>
      <c r="C14" s="141" t="s">
        <v>112</v>
      </c>
      <c r="D14" s="142" t="s">
        <v>113</v>
      </c>
      <c r="E14" s="142" t="s">
        <v>114</v>
      </c>
      <c r="F14" s="141" t="s">
        <v>115</v>
      </c>
      <c r="G14" s="141" t="s">
        <v>116</v>
      </c>
    </row>
    <row r="15" spans="1:15" x14ac:dyDescent="0.25">
      <c r="A15" s="143">
        <v>1</v>
      </c>
      <c r="B15" s="144">
        <v>39845</v>
      </c>
      <c r="C15" s="145">
        <f>+B15-B6-B7</f>
        <v>31</v>
      </c>
      <c r="D15" s="146">
        <f>+B5</f>
        <v>0</v>
      </c>
      <c r="E15" s="146">
        <f>+E4*$B$12*C15/$E$7</f>
        <v>-3.9068493150684933</v>
      </c>
      <c r="F15" s="147">
        <f t="shared" ref="F15:F78" si="0">+D15-E15</f>
        <v>3.9068493150684933</v>
      </c>
      <c r="G15" s="147">
        <f>+E4-F15</f>
        <v>-1003.9068493150685</v>
      </c>
    </row>
    <row r="16" spans="1:15" x14ac:dyDescent="0.25">
      <c r="A16" s="143">
        <v>2</v>
      </c>
      <c r="B16" s="144">
        <v>39873</v>
      </c>
      <c r="C16" s="145">
        <f t="shared" ref="C16:C79" si="1">+B16-B15</f>
        <v>28</v>
      </c>
      <c r="D16" s="146">
        <f t="shared" ref="D16:D79" si="2">+D15</f>
        <v>0</v>
      </c>
      <c r="E16" s="146">
        <f t="shared" ref="E16:E79" si="3">+G15*$B$12*C16/360</f>
        <v>-3.5917556164383564</v>
      </c>
      <c r="F16" s="147">
        <f t="shared" si="0"/>
        <v>3.5917556164383564</v>
      </c>
      <c r="G16" s="147">
        <f t="shared" ref="G16:G79" si="4">+G15-F16</f>
        <v>-1007.4986049315069</v>
      </c>
    </row>
    <row r="17" spans="1:7" x14ac:dyDescent="0.25">
      <c r="A17" s="143">
        <v>3</v>
      </c>
      <c r="B17" s="144">
        <v>39904</v>
      </c>
      <c r="C17" s="145">
        <f t="shared" si="1"/>
        <v>31</v>
      </c>
      <c r="D17" s="146">
        <f t="shared" si="2"/>
        <v>0</v>
      </c>
      <c r="E17" s="146">
        <f t="shared" si="3"/>
        <v>-3.9908139184231359</v>
      </c>
      <c r="F17" s="147">
        <f t="shared" si="0"/>
        <v>3.9908139184231359</v>
      </c>
      <c r="G17" s="147">
        <f t="shared" si="4"/>
        <v>-1011.48941884993</v>
      </c>
    </row>
    <row r="18" spans="1:7" x14ac:dyDescent="0.25">
      <c r="A18" s="143">
        <v>4</v>
      </c>
      <c r="B18" s="144">
        <v>39934</v>
      </c>
      <c r="C18" s="145">
        <f t="shared" si="1"/>
        <v>30</v>
      </c>
      <c r="D18" s="146">
        <f t="shared" si="2"/>
        <v>0</v>
      </c>
      <c r="E18" s="146">
        <f t="shared" si="3"/>
        <v>-3.8773761055913982</v>
      </c>
      <c r="F18" s="147">
        <f t="shared" si="0"/>
        <v>3.8773761055913982</v>
      </c>
      <c r="G18" s="147">
        <f t="shared" si="4"/>
        <v>-1015.3667949555214</v>
      </c>
    </row>
    <row r="19" spans="1:7" x14ac:dyDescent="0.25">
      <c r="A19" s="143">
        <v>5</v>
      </c>
      <c r="B19" s="144">
        <v>39965</v>
      </c>
      <c r="C19" s="145">
        <f t="shared" si="1"/>
        <v>31</v>
      </c>
      <c r="D19" s="146">
        <f t="shared" si="2"/>
        <v>0</v>
      </c>
      <c r="E19" s="146">
        <f t="shared" si="3"/>
        <v>-4.0219806933515931</v>
      </c>
      <c r="F19" s="147">
        <f t="shared" si="0"/>
        <v>4.0219806933515931</v>
      </c>
      <c r="G19" s="147">
        <f t="shared" si="4"/>
        <v>-1019.388775648873</v>
      </c>
    </row>
    <row r="20" spans="1:7" x14ac:dyDescent="0.25">
      <c r="A20" s="143">
        <v>6</v>
      </c>
      <c r="B20" s="144">
        <v>39995</v>
      </c>
      <c r="C20" s="145">
        <f t="shared" si="1"/>
        <v>30</v>
      </c>
      <c r="D20" s="146">
        <f t="shared" si="2"/>
        <v>0</v>
      </c>
      <c r="E20" s="146">
        <f t="shared" si="3"/>
        <v>-3.9076569733206794</v>
      </c>
      <c r="F20" s="147">
        <f t="shared" si="0"/>
        <v>3.9076569733206794</v>
      </c>
      <c r="G20" s="147">
        <f t="shared" si="4"/>
        <v>-1023.2964326221936</v>
      </c>
    </row>
    <row r="21" spans="1:7" x14ac:dyDescent="0.25">
      <c r="A21" s="143">
        <v>7</v>
      </c>
      <c r="B21" s="144">
        <v>40026</v>
      </c>
      <c r="C21" s="145">
        <f t="shared" si="1"/>
        <v>31</v>
      </c>
      <c r="D21" s="146">
        <f t="shared" si="2"/>
        <v>0</v>
      </c>
      <c r="E21" s="146">
        <f t="shared" si="3"/>
        <v>-4.0533908692201335</v>
      </c>
      <c r="F21" s="147">
        <f t="shared" si="0"/>
        <v>4.0533908692201335</v>
      </c>
      <c r="G21" s="147">
        <f t="shared" si="4"/>
        <v>-1027.3498234914136</v>
      </c>
    </row>
    <row r="22" spans="1:7" x14ac:dyDescent="0.25">
      <c r="A22" s="143">
        <v>8</v>
      </c>
      <c r="B22" s="144">
        <v>40057</v>
      </c>
      <c r="C22" s="145">
        <f t="shared" si="1"/>
        <v>31</v>
      </c>
      <c r="D22" s="146">
        <f t="shared" si="2"/>
        <v>0</v>
      </c>
      <c r="E22" s="146">
        <f t="shared" si="3"/>
        <v>-4.0694468008298781</v>
      </c>
      <c r="F22" s="147">
        <f t="shared" si="0"/>
        <v>4.0694468008298781</v>
      </c>
      <c r="G22" s="147">
        <f t="shared" si="4"/>
        <v>-1031.4192702922435</v>
      </c>
    </row>
    <row r="23" spans="1:7" x14ac:dyDescent="0.25">
      <c r="A23" s="143">
        <v>9</v>
      </c>
      <c r="B23" s="144">
        <v>40087</v>
      </c>
      <c r="C23" s="145">
        <f t="shared" si="1"/>
        <v>30</v>
      </c>
      <c r="D23" s="146">
        <f t="shared" si="2"/>
        <v>0</v>
      </c>
      <c r="E23" s="146">
        <f t="shared" si="3"/>
        <v>-3.9537738694535998</v>
      </c>
      <c r="F23" s="147">
        <f t="shared" si="0"/>
        <v>3.9537738694535998</v>
      </c>
      <c r="G23" s="147">
        <f t="shared" si="4"/>
        <v>-1035.3730441616972</v>
      </c>
    </row>
    <row r="24" spans="1:7" x14ac:dyDescent="0.25">
      <c r="A24" s="143">
        <v>10</v>
      </c>
      <c r="B24" s="144">
        <v>40118</v>
      </c>
      <c r="C24" s="145">
        <f t="shared" si="1"/>
        <v>31</v>
      </c>
      <c r="D24" s="146">
        <f t="shared" si="2"/>
        <v>0</v>
      </c>
      <c r="E24" s="146">
        <f t="shared" si="3"/>
        <v>-4.1012276693738334</v>
      </c>
      <c r="F24" s="147">
        <f t="shared" si="0"/>
        <v>4.1012276693738334</v>
      </c>
      <c r="G24" s="147">
        <f t="shared" si="4"/>
        <v>-1039.4742718310711</v>
      </c>
    </row>
    <row r="25" spans="1:7" x14ac:dyDescent="0.25">
      <c r="A25" s="143">
        <v>11</v>
      </c>
      <c r="B25" s="144">
        <v>40148</v>
      </c>
      <c r="C25" s="145">
        <f t="shared" si="1"/>
        <v>30</v>
      </c>
      <c r="D25" s="146">
        <f t="shared" si="2"/>
        <v>0</v>
      </c>
      <c r="E25" s="146">
        <f t="shared" si="3"/>
        <v>-3.9846513753524393</v>
      </c>
      <c r="F25" s="147">
        <f t="shared" si="0"/>
        <v>3.9846513753524393</v>
      </c>
      <c r="G25" s="147">
        <f t="shared" si="4"/>
        <v>-1043.4589232064236</v>
      </c>
    </row>
    <row r="26" spans="1:7" x14ac:dyDescent="0.25">
      <c r="A26" s="143">
        <v>12</v>
      </c>
      <c r="B26" s="144">
        <v>40179</v>
      </c>
      <c r="C26" s="145">
        <f t="shared" si="1"/>
        <v>31</v>
      </c>
      <c r="D26" s="146">
        <f t="shared" si="2"/>
        <v>0</v>
      </c>
      <c r="E26" s="146">
        <f t="shared" si="3"/>
        <v>-4.1332567347009999</v>
      </c>
      <c r="F26" s="147">
        <f t="shared" si="0"/>
        <v>4.1332567347009999</v>
      </c>
      <c r="G26" s="147">
        <f t="shared" si="4"/>
        <v>-1047.5921799411246</v>
      </c>
    </row>
    <row r="27" spans="1:7" x14ac:dyDescent="0.25">
      <c r="A27" s="143">
        <v>13</v>
      </c>
      <c r="B27" s="144">
        <v>40210</v>
      </c>
      <c r="C27" s="145">
        <f t="shared" si="1"/>
        <v>31</v>
      </c>
      <c r="D27" s="146">
        <f t="shared" si="2"/>
        <v>0</v>
      </c>
      <c r="E27" s="146">
        <f t="shared" si="3"/>
        <v>-4.1496290238778988</v>
      </c>
      <c r="F27" s="147">
        <f t="shared" si="0"/>
        <v>4.1496290238778988</v>
      </c>
      <c r="G27" s="147">
        <f t="shared" si="4"/>
        <v>-1051.7418089650025</v>
      </c>
    </row>
    <row r="28" spans="1:7" x14ac:dyDescent="0.25">
      <c r="A28" s="143">
        <v>14</v>
      </c>
      <c r="B28" s="144">
        <v>40238</v>
      </c>
      <c r="C28" s="145">
        <f t="shared" si="1"/>
        <v>28</v>
      </c>
      <c r="D28" s="146">
        <f t="shared" si="2"/>
        <v>0</v>
      </c>
      <c r="E28" s="146">
        <f t="shared" si="3"/>
        <v>-3.7628984720747871</v>
      </c>
      <c r="F28" s="147">
        <f t="shared" si="0"/>
        <v>3.7628984720747871</v>
      </c>
      <c r="G28" s="147">
        <f t="shared" si="4"/>
        <v>-1055.5047074370773</v>
      </c>
    </row>
    <row r="29" spans="1:7" x14ac:dyDescent="0.25">
      <c r="A29" s="143">
        <v>15</v>
      </c>
      <c r="B29" s="144">
        <v>40269</v>
      </c>
      <c r="C29" s="145">
        <f t="shared" si="1"/>
        <v>31</v>
      </c>
      <c r="D29" s="146">
        <f t="shared" si="2"/>
        <v>0</v>
      </c>
      <c r="E29" s="146">
        <f t="shared" si="3"/>
        <v>-4.1809714244590896</v>
      </c>
      <c r="F29" s="147">
        <f t="shared" si="0"/>
        <v>4.1809714244590896</v>
      </c>
      <c r="G29" s="147">
        <f t="shared" si="4"/>
        <v>-1059.6856788615364</v>
      </c>
    </row>
    <row r="30" spans="1:7" x14ac:dyDescent="0.25">
      <c r="A30" s="143">
        <v>16</v>
      </c>
      <c r="B30" s="144">
        <v>40299</v>
      </c>
      <c r="C30" s="145">
        <f t="shared" si="1"/>
        <v>30</v>
      </c>
      <c r="D30" s="146">
        <f t="shared" si="2"/>
        <v>0</v>
      </c>
      <c r="E30" s="146">
        <f t="shared" si="3"/>
        <v>-4.0621284356358895</v>
      </c>
      <c r="F30" s="147">
        <f t="shared" si="0"/>
        <v>4.0621284356358895</v>
      </c>
      <c r="G30" s="147">
        <f t="shared" si="4"/>
        <v>-1063.7478072971724</v>
      </c>
    </row>
    <row r="31" spans="1:7" x14ac:dyDescent="0.25">
      <c r="A31" s="143">
        <v>17</v>
      </c>
      <c r="B31" s="144">
        <v>40330</v>
      </c>
      <c r="C31" s="145">
        <f t="shared" si="1"/>
        <v>31</v>
      </c>
      <c r="D31" s="146">
        <f t="shared" si="2"/>
        <v>0</v>
      </c>
      <c r="E31" s="146">
        <f t="shared" si="3"/>
        <v>-4.2136232589049101</v>
      </c>
      <c r="F31" s="147">
        <f t="shared" si="0"/>
        <v>4.2136232589049101</v>
      </c>
      <c r="G31" s="147">
        <f t="shared" si="4"/>
        <v>-1067.9614305560772</v>
      </c>
    </row>
    <row r="32" spans="1:7" x14ac:dyDescent="0.25">
      <c r="A32" s="143">
        <v>18</v>
      </c>
      <c r="B32" s="144">
        <v>40360</v>
      </c>
      <c r="C32" s="145">
        <f t="shared" si="1"/>
        <v>30</v>
      </c>
      <c r="D32" s="146">
        <f t="shared" si="2"/>
        <v>0</v>
      </c>
      <c r="E32" s="146">
        <f t="shared" si="3"/>
        <v>-4.0938521504649623</v>
      </c>
      <c r="F32" s="147">
        <f t="shared" si="0"/>
        <v>4.0938521504649623</v>
      </c>
      <c r="G32" s="147">
        <f t="shared" si="4"/>
        <v>-1072.0552827065421</v>
      </c>
    </row>
    <row r="33" spans="1:7" x14ac:dyDescent="0.25">
      <c r="A33" s="143">
        <v>19</v>
      </c>
      <c r="B33" s="144">
        <v>40391</v>
      </c>
      <c r="C33" s="145">
        <f t="shared" si="1"/>
        <v>31</v>
      </c>
      <c r="D33" s="146">
        <f t="shared" si="2"/>
        <v>0</v>
      </c>
      <c r="E33" s="146">
        <f t="shared" si="3"/>
        <v>-4.2465300920542477</v>
      </c>
      <c r="F33" s="147">
        <f t="shared" si="0"/>
        <v>4.2465300920542477</v>
      </c>
      <c r="G33" s="147">
        <f t="shared" si="4"/>
        <v>-1076.3018127985963</v>
      </c>
    </row>
    <row r="34" spans="1:7" x14ac:dyDescent="0.25">
      <c r="A34" s="143">
        <v>20</v>
      </c>
      <c r="B34" s="144">
        <v>40422</v>
      </c>
      <c r="C34" s="145">
        <f t="shared" si="1"/>
        <v>31</v>
      </c>
      <c r="D34" s="146">
        <f t="shared" si="2"/>
        <v>0</v>
      </c>
      <c r="E34" s="146">
        <f t="shared" si="3"/>
        <v>-4.2633510695855508</v>
      </c>
      <c r="F34" s="147">
        <f t="shared" si="0"/>
        <v>4.2633510695855508</v>
      </c>
      <c r="G34" s="147">
        <f t="shared" si="4"/>
        <v>-1080.5651638681818</v>
      </c>
    </row>
    <row r="35" spans="1:7" x14ac:dyDescent="0.25">
      <c r="A35" s="143">
        <v>21</v>
      </c>
      <c r="B35" s="144">
        <v>40452</v>
      </c>
      <c r="C35" s="145">
        <f t="shared" si="1"/>
        <v>30</v>
      </c>
      <c r="D35" s="146">
        <f t="shared" si="2"/>
        <v>0</v>
      </c>
      <c r="E35" s="146">
        <f t="shared" si="3"/>
        <v>-4.1421664614946971</v>
      </c>
      <c r="F35" s="147">
        <f t="shared" si="0"/>
        <v>4.1421664614946971</v>
      </c>
      <c r="G35" s="147">
        <f t="shared" si="4"/>
        <v>-1084.7073303296766</v>
      </c>
    </row>
    <row r="36" spans="1:7" x14ac:dyDescent="0.25">
      <c r="A36" s="143">
        <v>22</v>
      </c>
      <c r="B36" s="144">
        <v>40483</v>
      </c>
      <c r="C36" s="145">
        <f t="shared" si="1"/>
        <v>31</v>
      </c>
      <c r="D36" s="146">
        <f t="shared" si="2"/>
        <v>0</v>
      </c>
      <c r="E36" s="146">
        <f t="shared" si="3"/>
        <v>-4.2966462584725527</v>
      </c>
      <c r="F36" s="147">
        <f t="shared" si="0"/>
        <v>4.2966462584725527</v>
      </c>
      <c r="G36" s="147">
        <f t="shared" si="4"/>
        <v>-1089.003976588149</v>
      </c>
    </row>
    <row r="37" spans="1:7" x14ac:dyDescent="0.25">
      <c r="A37" s="143">
        <v>23</v>
      </c>
      <c r="B37" s="144">
        <v>40513</v>
      </c>
      <c r="C37" s="145">
        <f t="shared" si="1"/>
        <v>30</v>
      </c>
      <c r="D37" s="146">
        <f t="shared" si="2"/>
        <v>0</v>
      </c>
      <c r="E37" s="146">
        <f t="shared" si="3"/>
        <v>-4.174515243587904</v>
      </c>
      <c r="F37" s="147">
        <f t="shared" si="0"/>
        <v>4.174515243587904</v>
      </c>
      <c r="G37" s="147">
        <f t="shared" si="4"/>
        <v>-1093.1784918317369</v>
      </c>
    </row>
    <row r="38" spans="1:7" x14ac:dyDescent="0.25">
      <c r="A38" s="143">
        <v>24</v>
      </c>
      <c r="B38" s="144">
        <v>40544</v>
      </c>
      <c r="C38" s="145">
        <f t="shared" si="1"/>
        <v>31</v>
      </c>
      <c r="D38" s="146">
        <f t="shared" si="2"/>
        <v>0</v>
      </c>
      <c r="E38" s="146">
        <f t="shared" si="3"/>
        <v>-4.3302014704223799</v>
      </c>
      <c r="F38" s="147">
        <f t="shared" si="0"/>
        <v>4.3302014704223799</v>
      </c>
      <c r="G38" s="147">
        <f t="shared" si="4"/>
        <v>-1097.5086933021594</v>
      </c>
    </row>
    <row r="39" spans="1:7" x14ac:dyDescent="0.25">
      <c r="A39" s="143">
        <v>25</v>
      </c>
      <c r="B39" s="144">
        <v>40575</v>
      </c>
      <c r="C39" s="145">
        <f t="shared" si="1"/>
        <v>31</v>
      </c>
      <c r="D39" s="146">
        <f t="shared" si="2"/>
        <v>0</v>
      </c>
      <c r="E39" s="146">
        <f t="shared" si="3"/>
        <v>-4.3473538795802202</v>
      </c>
      <c r="F39" s="147">
        <f t="shared" si="0"/>
        <v>4.3473538795802202</v>
      </c>
      <c r="G39" s="147">
        <f t="shared" si="4"/>
        <v>-1101.8560471817395</v>
      </c>
    </row>
    <row r="40" spans="1:7" x14ac:dyDescent="0.25">
      <c r="A40" s="143">
        <v>26</v>
      </c>
      <c r="B40" s="144">
        <v>40603</v>
      </c>
      <c r="C40" s="145">
        <f t="shared" si="1"/>
        <v>28</v>
      </c>
      <c r="D40" s="146">
        <f t="shared" si="2"/>
        <v>0</v>
      </c>
      <c r="E40" s="146">
        <f t="shared" si="3"/>
        <v>-3.94219607991689</v>
      </c>
      <c r="F40" s="147">
        <f t="shared" si="0"/>
        <v>3.94219607991689</v>
      </c>
      <c r="G40" s="147">
        <f t="shared" si="4"/>
        <v>-1105.7982432616564</v>
      </c>
    </row>
    <row r="41" spans="1:7" x14ac:dyDescent="0.25">
      <c r="A41" s="143">
        <v>27</v>
      </c>
      <c r="B41" s="144">
        <v>40634</v>
      </c>
      <c r="C41" s="145">
        <f t="shared" si="1"/>
        <v>31</v>
      </c>
      <c r="D41" s="146">
        <f t="shared" si="2"/>
        <v>0</v>
      </c>
      <c r="E41" s="146">
        <f t="shared" si="3"/>
        <v>-4.380189708030894</v>
      </c>
      <c r="F41" s="147">
        <f t="shared" si="0"/>
        <v>4.380189708030894</v>
      </c>
      <c r="G41" s="147">
        <f t="shared" si="4"/>
        <v>-1110.1784329696873</v>
      </c>
    </row>
    <row r="42" spans="1:7" x14ac:dyDescent="0.25">
      <c r="A42" s="143">
        <v>28</v>
      </c>
      <c r="B42" s="144">
        <v>40664</v>
      </c>
      <c r="C42" s="145">
        <f t="shared" si="1"/>
        <v>30</v>
      </c>
      <c r="D42" s="146">
        <f t="shared" si="2"/>
        <v>0</v>
      </c>
      <c r="E42" s="146">
        <f t="shared" si="3"/>
        <v>-4.255683993050468</v>
      </c>
      <c r="F42" s="147">
        <f t="shared" si="0"/>
        <v>4.255683993050468</v>
      </c>
      <c r="G42" s="147">
        <f t="shared" si="4"/>
        <v>-1114.4341169627378</v>
      </c>
    </row>
    <row r="43" spans="1:7" x14ac:dyDescent="0.25">
      <c r="A43" s="143">
        <v>29</v>
      </c>
      <c r="B43" s="144">
        <v>40695</v>
      </c>
      <c r="C43" s="145">
        <f t="shared" si="1"/>
        <v>31</v>
      </c>
      <c r="D43" s="146">
        <f t="shared" si="2"/>
        <v>0</v>
      </c>
      <c r="E43" s="146">
        <f t="shared" si="3"/>
        <v>-4.4143973633023998</v>
      </c>
      <c r="F43" s="147">
        <f t="shared" si="0"/>
        <v>4.4143973633023998</v>
      </c>
      <c r="G43" s="147">
        <f t="shared" si="4"/>
        <v>-1118.8485143260402</v>
      </c>
    </row>
    <row r="44" spans="1:7" x14ac:dyDescent="0.25">
      <c r="A44" s="143">
        <v>30</v>
      </c>
      <c r="B44" s="144">
        <v>40725</v>
      </c>
      <c r="C44" s="145">
        <f t="shared" si="1"/>
        <v>30</v>
      </c>
      <c r="D44" s="146">
        <f t="shared" si="2"/>
        <v>0</v>
      </c>
      <c r="E44" s="146">
        <f t="shared" si="3"/>
        <v>-4.2889193049164875</v>
      </c>
      <c r="F44" s="147">
        <f t="shared" si="0"/>
        <v>4.2889193049164875</v>
      </c>
      <c r="G44" s="147">
        <f t="shared" si="4"/>
        <v>-1123.1374336309568</v>
      </c>
    </row>
    <row r="45" spans="1:7" x14ac:dyDescent="0.25">
      <c r="A45" s="143">
        <v>31</v>
      </c>
      <c r="B45" s="144">
        <v>40756</v>
      </c>
      <c r="C45" s="145">
        <f t="shared" si="1"/>
        <v>31</v>
      </c>
      <c r="D45" s="146">
        <f t="shared" si="2"/>
        <v>0</v>
      </c>
      <c r="E45" s="146">
        <f t="shared" si="3"/>
        <v>-4.4488721676604008</v>
      </c>
      <c r="F45" s="147">
        <f t="shared" si="0"/>
        <v>4.4488721676604008</v>
      </c>
      <c r="G45" s="147">
        <f t="shared" si="4"/>
        <v>-1127.5863057986173</v>
      </c>
    </row>
    <row r="46" spans="1:7" x14ac:dyDescent="0.25">
      <c r="A46" s="143">
        <v>32</v>
      </c>
      <c r="B46" s="144">
        <v>40787</v>
      </c>
      <c r="C46" s="145">
        <f t="shared" si="1"/>
        <v>31</v>
      </c>
      <c r="D46" s="146">
        <f t="shared" si="2"/>
        <v>0</v>
      </c>
      <c r="E46" s="146">
        <f t="shared" si="3"/>
        <v>-4.4664946446356337</v>
      </c>
      <c r="F46" s="147">
        <f t="shared" si="0"/>
        <v>4.4664946446356337</v>
      </c>
      <c r="G46" s="147">
        <f t="shared" si="4"/>
        <v>-1132.0528004432529</v>
      </c>
    </row>
    <row r="47" spans="1:7" x14ac:dyDescent="0.25">
      <c r="A47" s="143">
        <v>33</v>
      </c>
      <c r="B47" s="144">
        <v>40817</v>
      </c>
      <c r="C47" s="145">
        <f t="shared" si="1"/>
        <v>30</v>
      </c>
      <c r="D47" s="146">
        <f t="shared" si="2"/>
        <v>0</v>
      </c>
      <c r="E47" s="146">
        <f t="shared" si="3"/>
        <v>-4.3395357350324693</v>
      </c>
      <c r="F47" s="147">
        <f t="shared" si="0"/>
        <v>4.3395357350324693</v>
      </c>
      <c r="G47" s="147">
        <f t="shared" si="4"/>
        <v>-1136.3923361782854</v>
      </c>
    </row>
    <row r="48" spans="1:7" x14ac:dyDescent="0.25">
      <c r="A48" s="143">
        <v>34</v>
      </c>
      <c r="B48" s="144">
        <v>40848</v>
      </c>
      <c r="C48" s="145">
        <f t="shared" si="1"/>
        <v>31</v>
      </c>
      <c r="D48" s="146">
        <f t="shared" si="2"/>
        <v>0</v>
      </c>
      <c r="E48" s="146">
        <f t="shared" si="3"/>
        <v>-4.5013763094173189</v>
      </c>
      <c r="F48" s="147">
        <f t="shared" si="0"/>
        <v>4.5013763094173189</v>
      </c>
      <c r="G48" s="147">
        <f t="shared" si="4"/>
        <v>-1140.8937124877027</v>
      </c>
    </row>
    <row r="49" spans="1:7" x14ac:dyDescent="0.25">
      <c r="A49" s="143">
        <v>35</v>
      </c>
      <c r="B49" s="144">
        <v>40878</v>
      </c>
      <c r="C49" s="145">
        <f t="shared" si="1"/>
        <v>30</v>
      </c>
      <c r="D49" s="146">
        <f t="shared" si="2"/>
        <v>0</v>
      </c>
      <c r="E49" s="146">
        <f t="shared" si="3"/>
        <v>-4.3734258978695273</v>
      </c>
      <c r="F49" s="147">
        <f t="shared" si="0"/>
        <v>4.3734258978695273</v>
      </c>
      <c r="G49" s="147">
        <f t="shared" si="4"/>
        <v>-1145.2671383855723</v>
      </c>
    </row>
    <row r="50" spans="1:7" x14ac:dyDescent="0.25">
      <c r="A50" s="143">
        <v>36</v>
      </c>
      <c r="B50" s="144">
        <v>40909</v>
      </c>
      <c r="C50" s="145">
        <f t="shared" si="1"/>
        <v>31</v>
      </c>
      <c r="D50" s="146">
        <f t="shared" si="2"/>
        <v>0</v>
      </c>
      <c r="E50" s="146">
        <f t="shared" si="3"/>
        <v>-4.5365303870495168</v>
      </c>
      <c r="F50" s="147">
        <f t="shared" si="0"/>
        <v>4.5365303870495168</v>
      </c>
      <c r="G50" s="147">
        <f t="shared" si="4"/>
        <v>-1149.8036687726217</v>
      </c>
    </row>
    <row r="51" spans="1:7" x14ac:dyDescent="0.25">
      <c r="A51" s="143">
        <v>37</v>
      </c>
      <c r="B51" s="144">
        <v>40940</v>
      </c>
      <c r="C51" s="145">
        <f t="shared" si="1"/>
        <v>31</v>
      </c>
      <c r="D51" s="146">
        <f t="shared" si="2"/>
        <v>0</v>
      </c>
      <c r="E51" s="146">
        <f t="shared" si="3"/>
        <v>-4.5545000879715518</v>
      </c>
      <c r="F51" s="147">
        <f t="shared" si="0"/>
        <v>4.5545000879715518</v>
      </c>
      <c r="G51" s="147">
        <f t="shared" si="4"/>
        <v>-1154.3581688605932</v>
      </c>
    </row>
    <row r="52" spans="1:7" x14ac:dyDescent="0.25">
      <c r="A52" s="143">
        <v>38</v>
      </c>
      <c r="B52" s="144">
        <v>40969</v>
      </c>
      <c r="C52" s="145">
        <f t="shared" si="1"/>
        <v>29</v>
      </c>
      <c r="D52" s="146">
        <f t="shared" si="2"/>
        <v>0</v>
      </c>
      <c r="E52" s="146">
        <f t="shared" si="3"/>
        <v>-4.2775383257223094</v>
      </c>
      <c r="F52" s="147">
        <f t="shared" si="0"/>
        <v>4.2775383257223094</v>
      </c>
      <c r="G52" s="147">
        <f t="shared" si="4"/>
        <v>-1158.6357071863156</v>
      </c>
    </row>
    <row r="53" spans="1:7" x14ac:dyDescent="0.25">
      <c r="A53" s="143">
        <v>39</v>
      </c>
      <c r="B53" s="144">
        <v>41000</v>
      </c>
      <c r="C53" s="145">
        <f t="shared" si="1"/>
        <v>31</v>
      </c>
      <c r="D53" s="146">
        <f t="shared" si="2"/>
        <v>0</v>
      </c>
      <c r="E53" s="146">
        <f t="shared" si="3"/>
        <v>-4.5894847734657942</v>
      </c>
      <c r="F53" s="147">
        <f t="shared" si="0"/>
        <v>4.5894847734657942</v>
      </c>
      <c r="G53" s="147">
        <f t="shared" si="4"/>
        <v>-1163.2251919597813</v>
      </c>
    </row>
    <row r="54" spans="1:7" x14ac:dyDescent="0.25">
      <c r="A54" s="143">
        <v>40</v>
      </c>
      <c r="B54" s="144">
        <v>41030</v>
      </c>
      <c r="C54" s="145">
        <f t="shared" si="1"/>
        <v>30</v>
      </c>
      <c r="D54" s="146">
        <f t="shared" si="2"/>
        <v>0</v>
      </c>
      <c r="E54" s="146">
        <f t="shared" si="3"/>
        <v>-4.4590299025124942</v>
      </c>
      <c r="F54" s="147">
        <f t="shared" si="0"/>
        <v>4.4590299025124942</v>
      </c>
      <c r="G54" s="147">
        <f t="shared" si="4"/>
        <v>-1167.6842218622937</v>
      </c>
    </row>
    <row r="55" spans="1:7" x14ac:dyDescent="0.25">
      <c r="A55" s="143">
        <v>41</v>
      </c>
      <c r="B55" s="144">
        <v>41061</v>
      </c>
      <c r="C55" s="145">
        <f t="shared" si="1"/>
        <v>31</v>
      </c>
      <c r="D55" s="146">
        <f t="shared" si="2"/>
        <v>0</v>
      </c>
      <c r="E55" s="146">
        <f t="shared" si="3"/>
        <v>-4.6253269454878634</v>
      </c>
      <c r="F55" s="147">
        <f t="shared" si="0"/>
        <v>4.6253269454878634</v>
      </c>
      <c r="G55" s="147">
        <f t="shared" si="4"/>
        <v>-1172.3095488077815</v>
      </c>
    </row>
    <row r="56" spans="1:7" x14ac:dyDescent="0.25">
      <c r="A56" s="143">
        <v>42</v>
      </c>
      <c r="B56" s="144">
        <v>41091</v>
      </c>
      <c r="C56" s="145">
        <f t="shared" si="1"/>
        <v>30</v>
      </c>
      <c r="D56" s="146">
        <f t="shared" si="2"/>
        <v>0</v>
      </c>
      <c r="E56" s="146">
        <f t="shared" si="3"/>
        <v>-4.4938532704298293</v>
      </c>
      <c r="F56" s="147">
        <f t="shared" si="0"/>
        <v>4.4938532704298293</v>
      </c>
      <c r="G56" s="147">
        <f t="shared" si="4"/>
        <v>-1176.8034020782113</v>
      </c>
    </row>
    <row r="57" spans="1:7" x14ac:dyDescent="0.25">
      <c r="A57" s="143">
        <v>43</v>
      </c>
      <c r="B57" s="144">
        <v>41122</v>
      </c>
      <c r="C57" s="145">
        <f t="shared" si="1"/>
        <v>31</v>
      </c>
      <c r="D57" s="146">
        <f t="shared" si="2"/>
        <v>0</v>
      </c>
      <c r="E57" s="146">
        <f t="shared" si="3"/>
        <v>-4.6614490315653594</v>
      </c>
      <c r="F57" s="147">
        <f t="shared" si="0"/>
        <v>4.6614490315653594</v>
      </c>
      <c r="G57" s="147">
        <f t="shared" si="4"/>
        <v>-1181.4648511097766</v>
      </c>
    </row>
    <row r="58" spans="1:7" x14ac:dyDescent="0.25">
      <c r="A58" s="143">
        <v>44</v>
      </c>
      <c r="B58" s="144">
        <v>41153</v>
      </c>
      <c r="C58" s="145">
        <f t="shared" si="1"/>
        <v>31</v>
      </c>
      <c r="D58" s="146">
        <f t="shared" si="2"/>
        <v>0</v>
      </c>
      <c r="E58" s="146">
        <f t="shared" si="3"/>
        <v>-4.6799135491181705</v>
      </c>
      <c r="F58" s="147">
        <f t="shared" si="0"/>
        <v>4.6799135491181705</v>
      </c>
      <c r="G58" s="147">
        <f t="shared" si="4"/>
        <v>-1186.1447646588949</v>
      </c>
    </row>
    <row r="59" spans="1:7" x14ac:dyDescent="0.25">
      <c r="A59" s="143">
        <v>45</v>
      </c>
      <c r="B59" s="144">
        <v>41183</v>
      </c>
      <c r="C59" s="145">
        <f t="shared" si="1"/>
        <v>30</v>
      </c>
      <c r="D59" s="146">
        <f t="shared" si="2"/>
        <v>0</v>
      </c>
      <c r="E59" s="146">
        <f t="shared" si="3"/>
        <v>-4.546888264525764</v>
      </c>
      <c r="F59" s="147">
        <f t="shared" si="0"/>
        <v>4.546888264525764</v>
      </c>
      <c r="G59" s="147">
        <f t="shared" si="4"/>
        <v>-1190.6916529234206</v>
      </c>
    </row>
    <row r="60" spans="1:7" x14ac:dyDescent="0.25">
      <c r="A60" s="143">
        <v>46</v>
      </c>
      <c r="B60" s="144">
        <v>41214</v>
      </c>
      <c r="C60" s="145">
        <f t="shared" si="1"/>
        <v>31</v>
      </c>
      <c r="D60" s="146">
        <f t="shared" si="2"/>
        <v>0</v>
      </c>
      <c r="E60" s="146">
        <f t="shared" si="3"/>
        <v>-4.716461936302216</v>
      </c>
      <c r="F60" s="147">
        <f t="shared" si="0"/>
        <v>4.716461936302216</v>
      </c>
      <c r="G60" s="147">
        <f t="shared" si="4"/>
        <v>-1195.4081148597229</v>
      </c>
    </row>
    <row r="61" spans="1:7" x14ac:dyDescent="0.25">
      <c r="A61" s="143">
        <v>47</v>
      </c>
      <c r="B61" s="144">
        <v>41244</v>
      </c>
      <c r="C61" s="145">
        <f t="shared" si="1"/>
        <v>30</v>
      </c>
      <c r="D61" s="146">
        <f t="shared" si="2"/>
        <v>0</v>
      </c>
      <c r="E61" s="146">
        <f t="shared" si="3"/>
        <v>-4.5823977736289372</v>
      </c>
      <c r="F61" s="147">
        <f t="shared" si="0"/>
        <v>4.5823977736289372</v>
      </c>
      <c r="G61" s="147">
        <f t="shared" si="4"/>
        <v>-1199.9905126333517</v>
      </c>
    </row>
    <row r="62" spans="1:7" x14ac:dyDescent="0.25">
      <c r="A62" s="143">
        <v>48</v>
      </c>
      <c r="B62" s="144">
        <v>41275</v>
      </c>
      <c r="C62" s="145">
        <f t="shared" si="1"/>
        <v>31</v>
      </c>
      <c r="D62" s="146">
        <f t="shared" si="2"/>
        <v>0</v>
      </c>
      <c r="E62" s="146">
        <f t="shared" si="3"/>
        <v>-4.7532957528198869</v>
      </c>
      <c r="F62" s="147">
        <f t="shared" si="0"/>
        <v>4.7532957528198869</v>
      </c>
      <c r="G62" s="147">
        <f t="shared" si="4"/>
        <v>-1204.7438083861716</v>
      </c>
    </row>
    <row r="63" spans="1:7" x14ac:dyDescent="0.25">
      <c r="A63" s="143">
        <v>49</v>
      </c>
      <c r="B63" s="144">
        <v>41306</v>
      </c>
      <c r="C63" s="145">
        <f t="shared" si="1"/>
        <v>31</v>
      </c>
      <c r="D63" s="146">
        <f t="shared" si="2"/>
        <v>0</v>
      </c>
      <c r="E63" s="146">
        <f t="shared" si="3"/>
        <v>-4.7721240854407796</v>
      </c>
      <c r="F63" s="147">
        <f t="shared" si="0"/>
        <v>4.7721240854407796</v>
      </c>
      <c r="G63" s="147">
        <f t="shared" si="4"/>
        <v>-1209.5159324716124</v>
      </c>
    </row>
    <row r="64" spans="1:7" x14ac:dyDescent="0.25">
      <c r="A64" s="143">
        <v>50</v>
      </c>
      <c r="B64" s="144">
        <v>41334</v>
      </c>
      <c r="C64" s="145">
        <f t="shared" si="1"/>
        <v>28</v>
      </c>
      <c r="D64" s="146">
        <f t="shared" si="2"/>
        <v>0</v>
      </c>
      <c r="E64" s="146">
        <f t="shared" si="3"/>
        <v>-4.3273792250651022</v>
      </c>
      <c r="F64" s="147">
        <f t="shared" si="0"/>
        <v>4.3273792250651022</v>
      </c>
      <c r="G64" s="147">
        <f t="shared" si="4"/>
        <v>-1213.8433116966776</v>
      </c>
    </row>
    <row r="65" spans="1:7" x14ac:dyDescent="0.25">
      <c r="A65" s="143">
        <v>51</v>
      </c>
      <c r="B65" s="144">
        <v>41365</v>
      </c>
      <c r="C65" s="145">
        <f t="shared" si="1"/>
        <v>31</v>
      </c>
      <c r="D65" s="146">
        <f t="shared" si="2"/>
        <v>0</v>
      </c>
      <c r="E65" s="146">
        <f t="shared" si="3"/>
        <v>-4.8081682291096168</v>
      </c>
      <c r="F65" s="147">
        <f t="shared" si="0"/>
        <v>4.8081682291096168</v>
      </c>
      <c r="G65" s="147">
        <f t="shared" si="4"/>
        <v>-1218.6514799257873</v>
      </c>
    </row>
    <row r="66" spans="1:7" x14ac:dyDescent="0.25">
      <c r="A66" s="143">
        <v>52</v>
      </c>
      <c r="B66" s="144">
        <v>41395</v>
      </c>
      <c r="C66" s="145">
        <f t="shared" si="1"/>
        <v>30</v>
      </c>
      <c r="D66" s="146">
        <f t="shared" si="2"/>
        <v>0</v>
      </c>
      <c r="E66" s="146">
        <f t="shared" si="3"/>
        <v>-4.6714973397155175</v>
      </c>
      <c r="F66" s="147">
        <f t="shared" si="0"/>
        <v>4.6714973397155175</v>
      </c>
      <c r="G66" s="147">
        <f t="shared" si="4"/>
        <v>-1223.3229772655027</v>
      </c>
    </row>
    <row r="67" spans="1:7" x14ac:dyDescent="0.25">
      <c r="A67" s="143">
        <v>53</v>
      </c>
      <c r="B67" s="144">
        <v>41426</v>
      </c>
      <c r="C67" s="145">
        <f t="shared" si="1"/>
        <v>31</v>
      </c>
      <c r="D67" s="146">
        <f t="shared" si="2"/>
        <v>0</v>
      </c>
      <c r="E67" s="146">
        <f t="shared" si="3"/>
        <v>-4.8457182377239079</v>
      </c>
      <c r="F67" s="147">
        <f t="shared" si="0"/>
        <v>4.8457182377239079</v>
      </c>
      <c r="G67" s="147">
        <f t="shared" si="4"/>
        <v>-1228.1686955032267</v>
      </c>
    </row>
    <row r="68" spans="1:7" x14ac:dyDescent="0.25">
      <c r="A68" s="143">
        <v>54</v>
      </c>
      <c r="B68" s="144">
        <v>41456</v>
      </c>
      <c r="C68" s="145">
        <f t="shared" si="1"/>
        <v>30</v>
      </c>
      <c r="D68" s="146">
        <f t="shared" si="2"/>
        <v>0</v>
      </c>
      <c r="E68" s="146">
        <f t="shared" si="3"/>
        <v>-4.7079799994290354</v>
      </c>
      <c r="F68" s="147">
        <f t="shared" si="0"/>
        <v>4.7079799994290354</v>
      </c>
      <c r="G68" s="147">
        <f t="shared" si="4"/>
        <v>-1232.8766755026556</v>
      </c>
    </row>
    <row r="69" spans="1:7" x14ac:dyDescent="0.25">
      <c r="A69" s="143">
        <v>55</v>
      </c>
      <c r="B69" s="144">
        <v>41487</v>
      </c>
      <c r="C69" s="145">
        <f t="shared" si="1"/>
        <v>31</v>
      </c>
      <c r="D69" s="146">
        <f t="shared" si="2"/>
        <v>0</v>
      </c>
      <c r="E69" s="146">
        <f t="shared" si="3"/>
        <v>-4.8835614979632975</v>
      </c>
      <c r="F69" s="147">
        <f t="shared" si="0"/>
        <v>4.8835614979632975</v>
      </c>
      <c r="G69" s="147">
        <f t="shared" si="4"/>
        <v>-1237.7602370006189</v>
      </c>
    </row>
    <row r="70" spans="1:7" x14ac:dyDescent="0.25">
      <c r="A70" s="143">
        <v>56</v>
      </c>
      <c r="B70" s="144">
        <v>41518</v>
      </c>
      <c r="C70" s="145">
        <f t="shared" si="1"/>
        <v>31</v>
      </c>
      <c r="D70" s="146">
        <f t="shared" si="2"/>
        <v>0</v>
      </c>
      <c r="E70" s="146">
        <f t="shared" si="3"/>
        <v>-4.9029058276746742</v>
      </c>
      <c r="F70" s="147">
        <f t="shared" si="0"/>
        <v>4.9029058276746742</v>
      </c>
      <c r="G70" s="147">
        <f t="shared" si="4"/>
        <v>-1242.6631428282935</v>
      </c>
    </row>
    <row r="71" spans="1:7" x14ac:dyDescent="0.25">
      <c r="A71" s="143">
        <v>57</v>
      </c>
      <c r="B71" s="144">
        <v>41548</v>
      </c>
      <c r="C71" s="145">
        <f t="shared" si="1"/>
        <v>30</v>
      </c>
      <c r="D71" s="146">
        <f t="shared" si="2"/>
        <v>0</v>
      </c>
      <c r="E71" s="146">
        <f t="shared" si="3"/>
        <v>-4.7635420475084587</v>
      </c>
      <c r="F71" s="147">
        <f t="shared" si="0"/>
        <v>4.7635420475084587</v>
      </c>
      <c r="G71" s="147">
        <f t="shared" si="4"/>
        <v>-1247.426684875802</v>
      </c>
    </row>
    <row r="72" spans="1:7" x14ac:dyDescent="0.25">
      <c r="A72" s="143">
        <v>58</v>
      </c>
      <c r="B72" s="144">
        <v>41579</v>
      </c>
      <c r="C72" s="145">
        <f t="shared" si="1"/>
        <v>31</v>
      </c>
      <c r="D72" s="146">
        <f t="shared" si="2"/>
        <v>0</v>
      </c>
      <c r="E72" s="146">
        <f t="shared" si="3"/>
        <v>-4.9411957017580379</v>
      </c>
      <c r="F72" s="147">
        <f t="shared" si="0"/>
        <v>4.9411957017580379</v>
      </c>
      <c r="G72" s="147">
        <f t="shared" si="4"/>
        <v>-1252.3678805775601</v>
      </c>
    </row>
    <row r="73" spans="1:7" x14ac:dyDescent="0.25">
      <c r="A73" s="143">
        <v>59</v>
      </c>
      <c r="B73" s="144">
        <v>41609</v>
      </c>
      <c r="C73" s="145">
        <f t="shared" si="1"/>
        <v>30</v>
      </c>
      <c r="D73" s="146">
        <f t="shared" si="2"/>
        <v>0</v>
      </c>
      <c r="E73" s="146">
        <f t="shared" si="3"/>
        <v>-4.8007435422139801</v>
      </c>
      <c r="F73" s="147">
        <f t="shared" si="0"/>
        <v>4.8007435422139801</v>
      </c>
      <c r="G73" s="147">
        <f t="shared" si="4"/>
        <v>-1257.168624119774</v>
      </c>
    </row>
    <row r="74" spans="1:7" x14ac:dyDescent="0.25">
      <c r="A74" s="143">
        <f t="shared" ref="A74:A97" si="5">A73+1</f>
        <v>60</v>
      </c>
      <c r="B74" s="144">
        <v>41640</v>
      </c>
      <c r="C74" s="145">
        <f t="shared" si="1"/>
        <v>31</v>
      </c>
      <c r="D74" s="146">
        <f t="shared" si="2"/>
        <v>0</v>
      </c>
      <c r="E74" s="146">
        <f t="shared" si="3"/>
        <v>-4.9797846055411048</v>
      </c>
      <c r="F74" s="147">
        <f t="shared" si="0"/>
        <v>4.9797846055411048</v>
      </c>
      <c r="G74" s="147">
        <f t="shared" si="4"/>
        <v>-1262.148408725315</v>
      </c>
    </row>
    <row r="75" spans="1:7" x14ac:dyDescent="0.25">
      <c r="A75" s="143">
        <f t="shared" si="5"/>
        <v>61</v>
      </c>
      <c r="B75" s="144">
        <v>41671</v>
      </c>
      <c r="C75" s="145">
        <f t="shared" si="1"/>
        <v>31</v>
      </c>
      <c r="D75" s="146">
        <f t="shared" si="2"/>
        <v>0</v>
      </c>
      <c r="E75" s="146">
        <f t="shared" si="3"/>
        <v>-4.9995100856730534</v>
      </c>
      <c r="F75" s="147">
        <f t="shared" si="0"/>
        <v>4.9995100856730534</v>
      </c>
      <c r="G75" s="147">
        <f t="shared" si="4"/>
        <v>-1267.1479188109881</v>
      </c>
    </row>
    <row r="76" spans="1:7" x14ac:dyDescent="0.25">
      <c r="A76" s="143">
        <f t="shared" si="5"/>
        <v>62</v>
      </c>
      <c r="B76" s="144">
        <v>41699</v>
      </c>
      <c r="C76" s="145">
        <f t="shared" si="1"/>
        <v>28</v>
      </c>
      <c r="D76" s="146">
        <f t="shared" si="2"/>
        <v>0</v>
      </c>
      <c r="E76" s="146">
        <f t="shared" si="3"/>
        <v>-4.533573665079313</v>
      </c>
      <c r="F76" s="147">
        <f t="shared" si="0"/>
        <v>4.533573665079313</v>
      </c>
      <c r="G76" s="147">
        <f t="shared" si="4"/>
        <v>-1271.6814924760674</v>
      </c>
    </row>
    <row r="77" spans="1:7" x14ac:dyDescent="0.25">
      <c r="A77" s="143">
        <f t="shared" si="5"/>
        <v>63</v>
      </c>
      <c r="B77" s="144">
        <v>41730</v>
      </c>
      <c r="C77" s="145">
        <f t="shared" si="1"/>
        <v>31</v>
      </c>
      <c r="D77" s="146">
        <f t="shared" si="2"/>
        <v>0</v>
      </c>
      <c r="E77" s="146">
        <f t="shared" si="3"/>
        <v>-5.0372716896413117</v>
      </c>
      <c r="F77" s="147">
        <f t="shared" si="0"/>
        <v>5.0372716896413117</v>
      </c>
      <c r="G77" s="147">
        <f t="shared" si="4"/>
        <v>-1276.7187641657088</v>
      </c>
    </row>
    <row r="78" spans="1:7" x14ac:dyDescent="0.25">
      <c r="A78" s="143">
        <f t="shared" si="5"/>
        <v>64</v>
      </c>
      <c r="B78" s="144">
        <v>41760</v>
      </c>
      <c r="C78" s="145">
        <f t="shared" si="1"/>
        <v>30</v>
      </c>
      <c r="D78" s="146">
        <f t="shared" si="2"/>
        <v>0</v>
      </c>
      <c r="E78" s="146">
        <f t="shared" si="3"/>
        <v>-4.8940885959685501</v>
      </c>
      <c r="F78" s="147">
        <f t="shared" si="0"/>
        <v>4.8940885959685501</v>
      </c>
      <c r="G78" s="147">
        <f t="shared" si="4"/>
        <v>-1281.6128527616772</v>
      </c>
    </row>
    <row r="79" spans="1:7" x14ac:dyDescent="0.25">
      <c r="A79" s="143">
        <f t="shared" si="5"/>
        <v>65</v>
      </c>
      <c r="B79" s="144">
        <v>41791</v>
      </c>
      <c r="C79" s="145">
        <f t="shared" si="1"/>
        <v>31</v>
      </c>
      <c r="D79" s="146">
        <f t="shared" si="2"/>
        <v>0</v>
      </c>
      <c r="E79" s="146">
        <f t="shared" si="3"/>
        <v>-5.0766109112170881</v>
      </c>
      <c r="F79" s="147">
        <f t="shared" ref="F79:F98" si="6">+D79-E79</f>
        <v>5.0766109112170881</v>
      </c>
      <c r="G79" s="147">
        <f t="shared" si="4"/>
        <v>-1286.6894636728944</v>
      </c>
    </row>
    <row r="80" spans="1:7" x14ac:dyDescent="0.25">
      <c r="A80" s="143">
        <f t="shared" si="5"/>
        <v>66</v>
      </c>
      <c r="B80" s="144">
        <v>41821</v>
      </c>
      <c r="C80" s="145">
        <f t="shared" ref="C80:C97" si="7">+B80-B79</f>
        <v>30</v>
      </c>
      <c r="D80" s="146">
        <f t="shared" ref="D80:D97" si="8">+D79</f>
        <v>0</v>
      </c>
      <c r="E80" s="146">
        <f t="shared" ref="E80:E97" si="9">+G79*$B$12*C80/360</f>
        <v>-4.9323096107460946</v>
      </c>
      <c r="F80" s="147">
        <f t="shared" si="6"/>
        <v>4.9323096107460946</v>
      </c>
      <c r="G80" s="147">
        <f t="shared" ref="G80:G97" si="10">+G79-F80</f>
        <v>-1291.6217732836406</v>
      </c>
    </row>
    <row r="81" spans="1:7" x14ac:dyDescent="0.25">
      <c r="A81" s="143">
        <f t="shared" si="5"/>
        <v>67</v>
      </c>
      <c r="B81" s="144">
        <v>41852</v>
      </c>
      <c r="C81" s="145">
        <f t="shared" si="7"/>
        <v>31</v>
      </c>
      <c r="D81" s="146">
        <f t="shared" si="8"/>
        <v>0</v>
      </c>
      <c r="E81" s="146">
        <f t="shared" si="9"/>
        <v>-5.1162573575068642</v>
      </c>
      <c r="F81" s="147">
        <f t="shared" si="6"/>
        <v>5.1162573575068642</v>
      </c>
      <c r="G81" s="147">
        <f t="shared" si="10"/>
        <v>-1296.7380306411474</v>
      </c>
    </row>
    <row r="82" spans="1:7" x14ac:dyDescent="0.25">
      <c r="A82" s="143">
        <f t="shared" si="5"/>
        <v>68</v>
      </c>
      <c r="B82" s="144">
        <v>41883</v>
      </c>
      <c r="C82" s="145">
        <f t="shared" si="7"/>
        <v>31</v>
      </c>
      <c r="D82" s="146">
        <f t="shared" si="8"/>
        <v>0</v>
      </c>
      <c r="E82" s="146">
        <f t="shared" si="9"/>
        <v>-5.1365234213729893</v>
      </c>
      <c r="F82" s="147">
        <f t="shared" si="6"/>
        <v>5.1365234213729893</v>
      </c>
      <c r="G82" s="147">
        <f t="shared" si="10"/>
        <v>-1301.8745540625202</v>
      </c>
    </row>
    <row r="83" spans="1:7" x14ac:dyDescent="0.25">
      <c r="A83" s="143">
        <f t="shared" si="5"/>
        <v>69</v>
      </c>
      <c r="B83" s="144">
        <v>41913</v>
      </c>
      <c r="C83" s="145">
        <f t="shared" si="7"/>
        <v>30</v>
      </c>
      <c r="D83" s="146">
        <f t="shared" si="8"/>
        <v>0</v>
      </c>
      <c r="E83" s="146">
        <f t="shared" si="9"/>
        <v>-4.9905191239063278</v>
      </c>
      <c r="F83" s="147">
        <f t="shared" si="6"/>
        <v>4.9905191239063278</v>
      </c>
      <c r="G83" s="147">
        <f t="shared" si="10"/>
        <v>-1306.8650731864266</v>
      </c>
    </row>
    <row r="84" spans="1:7" x14ac:dyDescent="0.25">
      <c r="A84" s="143">
        <f t="shared" si="5"/>
        <v>70</v>
      </c>
      <c r="B84" s="144">
        <v>41944</v>
      </c>
      <c r="C84" s="145">
        <f t="shared" si="7"/>
        <v>31</v>
      </c>
      <c r="D84" s="146">
        <f t="shared" si="8"/>
        <v>0</v>
      </c>
      <c r="E84" s="146">
        <f t="shared" si="9"/>
        <v>-5.1766377621217901</v>
      </c>
      <c r="F84" s="147">
        <f t="shared" si="6"/>
        <v>5.1766377621217901</v>
      </c>
      <c r="G84" s="147">
        <f t="shared" si="10"/>
        <v>-1312.0417109485484</v>
      </c>
    </row>
    <row r="85" spans="1:7" x14ac:dyDescent="0.25">
      <c r="A85" s="143">
        <f t="shared" si="5"/>
        <v>71</v>
      </c>
      <c r="B85" s="144">
        <v>41974</v>
      </c>
      <c r="C85" s="145">
        <f t="shared" si="7"/>
        <v>30</v>
      </c>
      <c r="D85" s="146">
        <f t="shared" si="8"/>
        <v>0</v>
      </c>
      <c r="E85" s="146">
        <f t="shared" si="9"/>
        <v>-5.0294932253027689</v>
      </c>
      <c r="F85" s="147">
        <f t="shared" si="6"/>
        <v>5.0294932253027689</v>
      </c>
      <c r="G85" s="147">
        <f t="shared" si="10"/>
        <v>-1317.0712041738511</v>
      </c>
    </row>
    <row r="86" spans="1:7" x14ac:dyDescent="0.25">
      <c r="A86" s="143">
        <f t="shared" si="5"/>
        <v>72</v>
      </c>
      <c r="B86" s="144">
        <v>42005</v>
      </c>
      <c r="C86" s="145">
        <f t="shared" si="7"/>
        <v>31</v>
      </c>
      <c r="D86" s="146">
        <f t="shared" si="8"/>
        <v>0</v>
      </c>
      <c r="E86" s="146">
        <f t="shared" si="9"/>
        <v>-5.217065380977532</v>
      </c>
      <c r="F86" s="147">
        <f t="shared" si="6"/>
        <v>5.217065380977532</v>
      </c>
      <c r="G86" s="147">
        <f t="shared" si="10"/>
        <v>-1322.2882695548287</v>
      </c>
    </row>
    <row r="87" spans="1:7" x14ac:dyDescent="0.25">
      <c r="A87" s="143">
        <f t="shared" si="5"/>
        <v>73</v>
      </c>
      <c r="B87" s="144">
        <v>42036</v>
      </c>
      <c r="C87" s="145">
        <f t="shared" si="7"/>
        <v>31</v>
      </c>
      <c r="D87" s="146">
        <f t="shared" si="8"/>
        <v>0</v>
      </c>
      <c r="E87" s="146">
        <f t="shared" si="9"/>
        <v>-5.237730756625516</v>
      </c>
      <c r="F87" s="147">
        <f t="shared" si="6"/>
        <v>5.237730756625516</v>
      </c>
      <c r="G87" s="147">
        <f t="shared" si="10"/>
        <v>-1327.5260003114543</v>
      </c>
    </row>
    <row r="88" spans="1:7" x14ac:dyDescent="0.25">
      <c r="A88" s="143">
        <f t="shared" si="5"/>
        <v>74</v>
      </c>
      <c r="B88" s="144">
        <v>42064</v>
      </c>
      <c r="C88" s="145">
        <f t="shared" si="7"/>
        <v>28</v>
      </c>
      <c r="D88" s="146">
        <f t="shared" si="8"/>
        <v>0</v>
      </c>
      <c r="E88" s="146">
        <f t="shared" si="9"/>
        <v>-4.7495930233365353</v>
      </c>
      <c r="F88" s="147">
        <f t="shared" si="6"/>
        <v>4.7495930233365353</v>
      </c>
      <c r="G88" s="147">
        <f t="shared" si="10"/>
        <v>-1332.2755933347908</v>
      </c>
    </row>
    <row r="89" spans="1:7" x14ac:dyDescent="0.25">
      <c r="A89" s="143">
        <f t="shared" si="5"/>
        <v>75</v>
      </c>
      <c r="B89" s="144">
        <v>42095</v>
      </c>
      <c r="C89" s="145">
        <f t="shared" si="7"/>
        <v>31</v>
      </c>
      <c r="D89" s="146">
        <f t="shared" si="8"/>
        <v>0</v>
      </c>
      <c r="E89" s="146">
        <f t="shared" si="9"/>
        <v>-5.2772916558205871</v>
      </c>
      <c r="F89" s="147">
        <f t="shared" si="6"/>
        <v>5.2772916558205871</v>
      </c>
      <c r="G89" s="147">
        <f t="shared" si="10"/>
        <v>-1337.5528849906113</v>
      </c>
    </row>
    <row r="90" spans="1:7" x14ac:dyDescent="0.25">
      <c r="A90" s="143">
        <f t="shared" si="5"/>
        <v>76</v>
      </c>
      <c r="B90" s="144">
        <v>42125</v>
      </c>
      <c r="C90" s="145">
        <f t="shared" si="7"/>
        <v>30</v>
      </c>
      <c r="D90" s="146">
        <f t="shared" si="8"/>
        <v>0</v>
      </c>
      <c r="E90" s="146">
        <f t="shared" si="9"/>
        <v>-5.127286059130677</v>
      </c>
      <c r="F90" s="147">
        <f t="shared" si="6"/>
        <v>5.127286059130677</v>
      </c>
      <c r="G90" s="147">
        <f t="shared" si="10"/>
        <v>-1342.6801710497421</v>
      </c>
    </row>
    <row r="91" spans="1:7" x14ac:dyDescent="0.25">
      <c r="A91" s="143">
        <f t="shared" si="5"/>
        <v>77</v>
      </c>
      <c r="B91" s="144">
        <v>42156</v>
      </c>
      <c r="C91" s="145">
        <f t="shared" si="7"/>
        <v>31</v>
      </c>
      <c r="D91" s="146">
        <f t="shared" si="8"/>
        <v>0</v>
      </c>
      <c r="E91" s="146">
        <f t="shared" si="9"/>
        <v>-5.3185053442137002</v>
      </c>
      <c r="F91" s="147">
        <f t="shared" si="6"/>
        <v>5.3185053442137002</v>
      </c>
      <c r="G91" s="147">
        <f t="shared" si="10"/>
        <v>-1347.9986763939557</v>
      </c>
    </row>
    <row r="92" spans="1:7" x14ac:dyDescent="0.25">
      <c r="A92" s="143">
        <f t="shared" si="5"/>
        <v>78</v>
      </c>
      <c r="B92" s="144">
        <v>42186</v>
      </c>
      <c r="C92" s="145">
        <f t="shared" si="7"/>
        <v>30</v>
      </c>
      <c r="D92" s="146">
        <f t="shared" si="8"/>
        <v>0</v>
      </c>
      <c r="E92" s="146">
        <f t="shared" si="9"/>
        <v>-5.1673282595101631</v>
      </c>
      <c r="F92" s="147">
        <f t="shared" si="6"/>
        <v>5.1673282595101631</v>
      </c>
      <c r="G92" s="147">
        <f t="shared" si="10"/>
        <v>-1353.166004653466</v>
      </c>
    </row>
    <row r="93" spans="1:7" x14ac:dyDescent="0.25">
      <c r="A93" s="143">
        <f t="shared" si="5"/>
        <v>79</v>
      </c>
      <c r="B93" s="144">
        <v>42217</v>
      </c>
      <c r="C93" s="145">
        <f t="shared" si="7"/>
        <v>31</v>
      </c>
      <c r="D93" s="146">
        <f t="shared" si="8"/>
        <v>0</v>
      </c>
      <c r="E93" s="146">
        <f t="shared" si="9"/>
        <v>-5.3600408962106734</v>
      </c>
      <c r="F93" s="147">
        <f t="shared" si="6"/>
        <v>5.3600408962106734</v>
      </c>
      <c r="G93" s="147">
        <f t="shared" si="10"/>
        <v>-1358.5260455496766</v>
      </c>
    </row>
    <row r="94" spans="1:7" x14ac:dyDescent="0.25">
      <c r="A94" s="143">
        <f t="shared" si="5"/>
        <v>80</v>
      </c>
      <c r="B94" s="144">
        <v>42248</v>
      </c>
      <c r="C94" s="145">
        <f t="shared" si="7"/>
        <v>31</v>
      </c>
      <c r="D94" s="146">
        <f t="shared" si="8"/>
        <v>0</v>
      </c>
      <c r="E94" s="146">
        <f t="shared" si="9"/>
        <v>-5.3812726137606637</v>
      </c>
      <c r="F94" s="147">
        <f t="shared" si="6"/>
        <v>5.3812726137606637</v>
      </c>
      <c r="G94" s="147">
        <f t="shared" si="10"/>
        <v>-1363.9073181634374</v>
      </c>
    </row>
    <row r="95" spans="1:7" x14ac:dyDescent="0.25">
      <c r="A95" s="143">
        <f t="shared" si="5"/>
        <v>81</v>
      </c>
      <c r="B95" s="144">
        <v>42278</v>
      </c>
      <c r="C95" s="145">
        <f t="shared" si="7"/>
        <v>30</v>
      </c>
      <c r="D95" s="146">
        <f t="shared" si="8"/>
        <v>0</v>
      </c>
      <c r="E95" s="146">
        <f t="shared" si="9"/>
        <v>-5.2283113862931767</v>
      </c>
      <c r="F95" s="147">
        <f t="shared" si="6"/>
        <v>5.2283113862931767</v>
      </c>
      <c r="G95" s="147">
        <f t="shared" si="10"/>
        <v>-1369.1356295497305</v>
      </c>
    </row>
    <row r="96" spans="1:7" x14ac:dyDescent="0.25">
      <c r="A96" s="143">
        <f t="shared" si="5"/>
        <v>82</v>
      </c>
      <c r="B96" s="144">
        <v>42309</v>
      </c>
      <c r="C96" s="145">
        <f t="shared" si="7"/>
        <v>31</v>
      </c>
      <c r="D96" s="146">
        <f t="shared" si="8"/>
        <v>0</v>
      </c>
      <c r="E96" s="146">
        <f t="shared" si="9"/>
        <v>-5.4232983548275433</v>
      </c>
      <c r="F96" s="147">
        <f t="shared" si="6"/>
        <v>5.4232983548275433</v>
      </c>
      <c r="G96" s="147">
        <f t="shared" si="10"/>
        <v>-1374.558927904558</v>
      </c>
    </row>
    <row r="97" spans="1:13" x14ac:dyDescent="0.25">
      <c r="A97" s="143">
        <f t="shared" si="5"/>
        <v>83</v>
      </c>
      <c r="B97" s="144">
        <v>42339</v>
      </c>
      <c r="C97" s="145">
        <f t="shared" si="7"/>
        <v>30</v>
      </c>
      <c r="D97" s="146">
        <f t="shared" si="8"/>
        <v>0</v>
      </c>
      <c r="E97" s="146">
        <f t="shared" si="9"/>
        <v>-5.2691425569674717</v>
      </c>
      <c r="F97" s="147">
        <f t="shared" si="6"/>
        <v>5.2691425569674717</v>
      </c>
      <c r="G97" s="148">
        <f t="shared" si="10"/>
        <v>-1379.8280704615254</v>
      </c>
    </row>
    <row r="98" spans="1:13" x14ac:dyDescent="0.25">
      <c r="A98" s="143" t="s">
        <v>95</v>
      </c>
      <c r="B98" s="144">
        <v>41640</v>
      </c>
      <c r="C98" s="145"/>
      <c r="D98" s="147">
        <f>E6</f>
        <v>0</v>
      </c>
      <c r="E98" s="143"/>
      <c r="F98" s="147">
        <f t="shared" si="6"/>
        <v>0</v>
      </c>
      <c r="G98" s="86">
        <f>ROUND(ABS(G97-F98),0)</f>
        <v>1380</v>
      </c>
    </row>
    <row r="100" spans="1:13" x14ac:dyDescent="0.25">
      <c r="G100" s="150"/>
    </row>
    <row r="102" spans="1:13" x14ac:dyDescent="0.25">
      <c r="K102" s="151"/>
    </row>
    <row r="103" spans="1:13" x14ac:dyDescent="0.25">
      <c r="K103" s="152"/>
      <c r="M103" s="153"/>
    </row>
    <row r="104" spans="1:13" x14ac:dyDescent="0.25">
      <c r="B104" s="154"/>
      <c r="L104" s="152"/>
    </row>
    <row r="105" spans="1:13" x14ac:dyDescent="0.25">
      <c r="B105" s="154"/>
    </row>
    <row r="107" spans="1:13" x14ac:dyDescent="0.25">
      <c r="B107" s="155"/>
    </row>
    <row r="109" spans="1:13" x14ac:dyDescent="0.25">
      <c r="B109" s="155"/>
    </row>
  </sheetData>
  <phoneticPr fontId="7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B2:C7"/>
  <sheetViews>
    <sheetView workbookViewId="0">
      <selection activeCell="I27" sqref="I27"/>
    </sheetView>
  </sheetViews>
  <sheetFormatPr defaultRowHeight="15" customHeight="1" x14ac:dyDescent="0.25"/>
  <cols>
    <col min="1" max="1" width="1.5" style="28" customWidth="1"/>
    <col min="2" max="2" width="26.125" style="160" customWidth="1"/>
    <col min="3" max="3" width="13.75" style="28" customWidth="1"/>
    <col min="4" max="16384" width="9" style="28"/>
  </cols>
  <sheetData>
    <row r="2" spans="2:3" ht="20.100000000000001" customHeight="1" x14ac:dyDescent="0.25">
      <c r="B2" s="156" t="s">
        <v>168</v>
      </c>
      <c r="C2" s="163">
        <v>4.4999999999999998E-2</v>
      </c>
    </row>
    <row r="3" spans="2:3" ht="20.100000000000001" customHeight="1" x14ac:dyDescent="0.25">
      <c r="B3" s="156" t="s">
        <v>169</v>
      </c>
      <c r="C3" s="164">
        <v>0.27500000000000002</v>
      </c>
    </row>
    <row r="4" spans="2:3" ht="20.100000000000001" customHeight="1" x14ac:dyDescent="0.25">
      <c r="B4" s="156" t="s">
        <v>157</v>
      </c>
      <c r="C4" s="165">
        <v>0.66659999999999997</v>
      </c>
    </row>
    <row r="5" spans="2:3" ht="20.100000000000001" customHeight="1" x14ac:dyDescent="0.25">
      <c r="B5" s="157" t="s">
        <v>170</v>
      </c>
      <c r="C5" s="165">
        <v>0.08</v>
      </c>
    </row>
    <row r="6" spans="2:3" ht="20.100000000000001" customHeight="1" x14ac:dyDescent="0.25">
      <c r="B6" s="156" t="s">
        <v>158</v>
      </c>
      <c r="C6" s="165">
        <f>1-C4</f>
        <v>0.33340000000000003</v>
      </c>
    </row>
    <row r="7" spans="2:3" ht="20.100000000000001" customHeight="1" x14ac:dyDescent="0.25">
      <c r="B7" s="158" t="s">
        <v>117</v>
      </c>
      <c r="C7" s="159">
        <f>C2*(1-C3)*C4+C5*C6</f>
        <v>4.8419825E-2</v>
      </c>
    </row>
  </sheetData>
  <phoneticPr fontId="7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1"/>
  <sheetViews>
    <sheetView workbookViewId="0"/>
  </sheetViews>
  <sheetFormatPr defaultRowHeight="12.75" x14ac:dyDescent="0.2"/>
  <cols>
    <col min="1" max="1" width="9" style="595"/>
    <col min="2" max="2" width="20.75" style="596" customWidth="1"/>
    <col min="3" max="3" width="15" style="596" customWidth="1"/>
    <col min="4" max="4" width="5.875" style="596" customWidth="1"/>
    <col min="5" max="5" width="20.75" style="596" customWidth="1"/>
    <col min="6" max="6" width="11.125" style="596" customWidth="1"/>
    <col min="7" max="7" width="5.875" style="596" customWidth="1"/>
    <col min="8" max="8" width="21.625" style="596" customWidth="1"/>
    <col min="9" max="9" width="5.875" style="597" customWidth="1"/>
    <col min="10" max="10" width="15.75" style="597" bestFit="1" customWidth="1"/>
    <col min="11" max="11" width="7.625" style="597" customWidth="1"/>
    <col min="12" max="12" width="23.375" style="597" customWidth="1"/>
    <col min="13" max="14" width="9" style="597"/>
    <col min="15" max="26" width="9" style="583"/>
    <col min="27" max="27" width="9" style="592"/>
    <col min="28" max="28" width="9" style="593"/>
    <col min="29" max="16384" width="9" style="594"/>
  </cols>
  <sheetData>
    <row r="2" spans="1:28" ht="13.5" thickBot="1" x14ac:dyDescent="0.25">
      <c r="K2" s="598"/>
      <c r="L2" s="598"/>
      <c r="M2" s="598"/>
      <c r="N2" s="598"/>
      <c r="O2" s="582"/>
      <c r="P2" s="582"/>
      <c r="Q2" s="582"/>
      <c r="R2" s="582"/>
      <c r="S2" s="582"/>
      <c r="T2" s="582"/>
      <c r="U2" s="582"/>
      <c r="V2" s="582"/>
      <c r="W2" s="582"/>
      <c r="X2" s="582"/>
    </row>
    <row r="3" spans="1:28" ht="18.75" thickBot="1" x14ac:dyDescent="0.25">
      <c r="B3" s="1587" t="s">
        <v>595</v>
      </c>
      <c r="C3" s="1573"/>
      <c r="D3" s="1573"/>
      <c r="E3" s="1573"/>
      <c r="F3" s="1573"/>
      <c r="G3" s="1573"/>
      <c r="H3" s="1573"/>
      <c r="I3" s="1573"/>
      <c r="J3" s="1588"/>
      <c r="K3" s="599"/>
      <c r="L3" s="599"/>
      <c r="M3" s="599"/>
      <c r="N3" s="599"/>
      <c r="O3" s="584"/>
      <c r="P3" s="584"/>
      <c r="Q3" s="584"/>
    </row>
    <row r="4" spans="1:28" ht="15" x14ac:dyDescent="0.25">
      <c r="B4" s="1589" t="s">
        <v>607</v>
      </c>
      <c r="C4" s="1590"/>
      <c r="D4" s="1590"/>
      <c r="E4" s="1590"/>
      <c r="F4" s="1591">
        <f>'2-Dati generali-Cond. utilizzo'!$C$7</f>
        <v>0</v>
      </c>
      <c r="G4" s="1592"/>
      <c r="H4" s="1592"/>
      <c r="I4" s="1593" t="s">
        <v>609</v>
      </c>
      <c r="J4" s="1594"/>
      <c r="K4" s="599"/>
      <c r="L4" s="599"/>
      <c r="M4" s="599"/>
      <c r="N4" s="599"/>
      <c r="O4" s="584"/>
      <c r="P4" s="584"/>
      <c r="Q4" s="584"/>
    </row>
    <row r="5" spans="1:28" ht="15.75" thickBot="1" x14ac:dyDescent="0.3">
      <c r="B5" s="1595" t="s">
        <v>608</v>
      </c>
      <c r="C5" s="1596"/>
      <c r="D5" s="1596"/>
      <c r="E5" s="1596"/>
      <c r="F5" s="1597">
        <f>'2-Dati generali-Cond. utilizzo'!$C$6</f>
        <v>0</v>
      </c>
      <c r="G5" s="1598"/>
      <c r="H5" s="1598"/>
      <c r="I5" s="1599" t="s">
        <v>610</v>
      </c>
      <c r="J5" s="1565"/>
      <c r="K5" s="599"/>
      <c r="L5" s="599"/>
      <c r="M5" s="599"/>
      <c r="N5" s="599"/>
      <c r="O5" s="584"/>
      <c r="P5" s="584"/>
      <c r="Q5" s="584"/>
    </row>
    <row r="6" spans="1:28" x14ac:dyDescent="0.2">
      <c r="I6" s="599"/>
      <c r="J6" s="599"/>
      <c r="K6" s="599"/>
      <c r="L6" s="599"/>
      <c r="M6" s="599"/>
      <c r="N6" s="599"/>
      <c r="O6" s="584"/>
      <c r="P6" s="584"/>
      <c r="Q6" s="584"/>
    </row>
    <row r="7" spans="1:28" ht="13.5" thickBot="1" x14ac:dyDescent="0.25">
      <c r="I7" s="599"/>
      <c r="J7" s="599"/>
      <c r="K7" s="599"/>
      <c r="L7" s="599"/>
      <c r="M7" s="599"/>
      <c r="N7" s="599"/>
      <c r="O7" s="584"/>
      <c r="P7" s="584"/>
      <c r="Q7" s="584"/>
    </row>
    <row r="8" spans="1:28" ht="18.75" customHeight="1" thickBot="1" x14ac:dyDescent="0.25">
      <c r="B8" s="1571" t="s">
        <v>352</v>
      </c>
      <c r="C8" s="1572"/>
      <c r="D8" s="1573"/>
      <c r="E8" s="1572" t="s">
        <v>605</v>
      </c>
      <c r="F8" s="1573"/>
      <c r="G8" s="1573"/>
      <c r="H8" s="1573"/>
      <c r="I8" s="1574"/>
      <c r="J8" s="1574"/>
      <c r="K8" s="1572" t="s">
        <v>597</v>
      </c>
      <c r="L8" s="1572"/>
      <c r="M8" s="1575"/>
      <c r="N8" s="599"/>
      <c r="O8" s="584"/>
      <c r="P8" s="584"/>
      <c r="Q8" s="584"/>
    </row>
    <row r="9" spans="1:28" s="583" customFormat="1" ht="15" x14ac:dyDescent="0.2">
      <c r="A9" s="595"/>
      <c r="B9" s="600" t="s">
        <v>606</v>
      </c>
      <c r="C9" s="1576" t="str">
        <f>INDEX(Tabella_tipo_impianto,'2-Dati generali-Cond. utilizzo'!$C$42,1)</f>
        <v>ESPANSIONE DIRETTA</v>
      </c>
      <c r="D9" s="1577"/>
      <c r="E9" s="600" t="s">
        <v>606</v>
      </c>
      <c r="F9" s="1584" t="s">
        <v>314</v>
      </c>
      <c r="G9" s="1585"/>
      <c r="H9" s="1578" t="s">
        <v>598</v>
      </c>
      <c r="I9" s="1579"/>
      <c r="J9" s="1580"/>
      <c r="K9" s="1581" t="s">
        <v>599</v>
      </c>
      <c r="L9" s="1582"/>
      <c r="M9" s="1583"/>
      <c r="N9" s="599"/>
      <c r="O9" s="584"/>
      <c r="P9" s="584"/>
      <c r="Q9" s="584"/>
      <c r="AA9" s="592"/>
      <c r="AB9" s="593"/>
    </row>
    <row r="10" spans="1:28" s="583" customFormat="1" ht="15" x14ac:dyDescent="0.2">
      <c r="A10" s="595"/>
      <c r="B10" s="1553" t="s">
        <v>600</v>
      </c>
      <c r="C10" s="1570"/>
      <c r="D10" s="1586"/>
      <c r="E10" s="1553" t="s">
        <v>600</v>
      </c>
      <c r="F10" s="1554"/>
      <c r="G10" s="1554"/>
      <c r="H10" s="601"/>
      <c r="I10" s="602"/>
      <c r="J10" s="603"/>
      <c r="K10" s="604">
        <v>1</v>
      </c>
      <c r="L10" s="1555"/>
      <c r="M10" s="1556"/>
      <c r="N10" s="599"/>
      <c r="O10" s="584"/>
      <c r="P10" s="584"/>
      <c r="Q10" s="584"/>
      <c r="AA10" s="592"/>
      <c r="AB10" s="593"/>
    </row>
    <row r="11" spans="1:28" s="583" customFormat="1" x14ac:dyDescent="0.2">
      <c r="A11" s="595"/>
      <c r="B11" s="585" t="str">
        <f>INDEX(Tabella_tipo_gas,'2-Dati generali-Cond. utilizzo'!C43,1)</f>
        <v>GAS NATURALE</v>
      </c>
      <c r="C11" s="586">
        <f>('5-Costi di funziona.- pay back'!C37*'3-Caratteristiche dei sistemi'!V76)+('5-Costi di funziona.- pay back'!D37*'3-Caratteristiche dei sistemi'!V65)</f>
        <v>0</v>
      </c>
      <c r="D11" s="587" t="str">
        <f>IF(OR(B11="GAS NATURALE",B11="LNG"),"m3","kg")</f>
        <v>m3</v>
      </c>
      <c r="E11" s="585" t="str">
        <f>INDEX(Tabella_tipo_gas,'2-Dati generali-Cond. utilizzo'!C43,1)</f>
        <v>GAS NATURALE</v>
      </c>
      <c r="F11" s="586">
        <f>('5-Costi di funziona.- pay back'!C37*'3-Caratteristiche dei sistemi'!I76)+('5-Costi di funziona.- pay back'!D37*'3-Caratteristiche dei sistemi'!I65)</f>
        <v>0</v>
      </c>
      <c r="G11" s="586" t="str">
        <f>IF(OR(B11="GAS NATURALE",B11="LNG"),"m3","kg")</f>
        <v>m3</v>
      </c>
      <c r="H11" s="588">
        <f>F11-C11</f>
        <v>0</v>
      </c>
      <c r="I11" s="586" t="str">
        <f>IF(OR(B11="GAS NATURALE",B11="LNG"),"m3","kg")</f>
        <v>m3</v>
      </c>
      <c r="J11" s="589" t="str">
        <f>IF(C11=0,"NUOVO CONSUMO",H11/C11)</f>
        <v>NUOVO CONSUMO</v>
      </c>
      <c r="K11" s="604">
        <v>2</v>
      </c>
      <c r="L11" s="1555"/>
      <c r="M11" s="1556"/>
      <c r="N11" s="599"/>
      <c r="O11" s="584"/>
      <c r="P11" s="584"/>
      <c r="Q11" s="584"/>
      <c r="AA11" s="592"/>
      <c r="AB11" s="593"/>
    </row>
    <row r="12" spans="1:28" s="583" customFormat="1" x14ac:dyDescent="0.2">
      <c r="A12" s="595"/>
      <c r="B12" s="585" t="s">
        <v>601</v>
      </c>
      <c r="C12" s="586">
        <f>('5-Costi di funziona.- pay back'!C26*'3-Caratteristiche dei sistemi'!V51)+('5-Costi di funziona.- pay back'!D26*'3-Caratteristiche dei sistemi'!V40)</f>
        <v>0</v>
      </c>
      <c r="D12" s="587" t="s">
        <v>596</v>
      </c>
      <c r="E12" s="585" t="s">
        <v>601</v>
      </c>
      <c r="F12" s="586">
        <f>('5-Costi di funziona.- pay back'!C26*'3-Caratteristiche dei sistemi'!I51)+('5-Costi di funziona.- pay back'!D26*'3-Caratteristiche dei sistemi'!I40)</f>
        <v>0</v>
      </c>
      <c r="G12" s="586" t="s">
        <v>596</v>
      </c>
      <c r="H12" s="588">
        <f>F12-C12</f>
        <v>0</v>
      </c>
      <c r="I12" s="586" t="s">
        <v>596</v>
      </c>
      <c r="J12" s="589" t="str">
        <f>IF(C12=0,"NUOVO CONSUMO",H12/C12)</f>
        <v>NUOVO CONSUMO</v>
      </c>
      <c r="K12" s="608">
        <v>3</v>
      </c>
      <c r="L12" s="1555"/>
      <c r="M12" s="1556"/>
      <c r="N12" s="599"/>
      <c r="O12" s="584"/>
      <c r="P12" s="584"/>
      <c r="Q12" s="584"/>
      <c r="AA12" s="592"/>
      <c r="AB12" s="593"/>
    </row>
    <row r="13" spans="1:28" s="583" customFormat="1" ht="15" x14ac:dyDescent="0.2">
      <c r="A13" s="595"/>
      <c r="B13" s="1553" t="s">
        <v>612</v>
      </c>
      <c r="C13" s="1570"/>
      <c r="D13" s="1586"/>
      <c r="E13" s="1553" t="s">
        <v>613</v>
      </c>
      <c r="F13" s="1570"/>
      <c r="G13" s="1570"/>
      <c r="H13" s="606"/>
      <c r="I13" s="605"/>
      <c r="J13" s="607"/>
      <c r="K13" s="608">
        <v>4</v>
      </c>
      <c r="L13" s="1555"/>
      <c r="M13" s="1556"/>
      <c r="N13" s="599"/>
      <c r="O13" s="584"/>
      <c r="P13" s="584"/>
      <c r="Q13" s="584"/>
      <c r="AA13" s="592"/>
      <c r="AB13" s="593"/>
    </row>
    <row r="14" spans="1:28" s="583" customFormat="1" x14ac:dyDescent="0.2">
      <c r="A14" s="595"/>
      <c r="B14" s="585" t="str">
        <f>INDEX(Tabella_tipo_gas,'2-Dati generali-Cond. utilizzo'!C43,1)</f>
        <v>GAS NATURALE</v>
      </c>
      <c r="C14" s="586" t="e">
        <f>IF(B11="GAS NATURALE",C11+('5-Costi di funziona.- pay back'!F60/('Dati x formule'!C8*'Dati x formule'!D4)),IF(B11="GPL",C11+('5-Costi di funziona.- pay back'!F60/('Dati x formule'!C8*'Dati x formule'!D5)),C11+('5-Costi di funziona.- pay back'!F60/('Dati x formule'!C8*'Dati x formule'!D6))))</f>
        <v>#VALUE!</v>
      </c>
      <c r="D14" s="587" t="str">
        <f>IF(OR(B11="GAS NATURALE",B11="LNG"),"m3","kg")</f>
        <v>m3</v>
      </c>
      <c r="E14" s="585" t="str">
        <f>INDEX(Tabella_tipo_gas,'2-Dati generali-Cond. utilizzo'!C43,1)</f>
        <v>GAS NATURALE</v>
      </c>
      <c r="F14" s="586">
        <f>F11</f>
        <v>0</v>
      </c>
      <c r="G14" s="586" t="str">
        <f>IF(OR(B11="GAS NATURALE",B11="LNG"),"m3","kg")</f>
        <v>m3</v>
      </c>
      <c r="H14" s="588" t="e">
        <f>F14-C14</f>
        <v>#VALUE!</v>
      </c>
      <c r="I14" s="586" t="str">
        <f>IF(OR(B11="GAS NATURALE",B11="LNG"),"m3","kg")</f>
        <v>m3</v>
      </c>
      <c r="J14" s="589" t="e">
        <f>IF(C14=0,"NUOVO CONSUMO",H14/C14)</f>
        <v>#VALUE!</v>
      </c>
      <c r="K14" s="608">
        <v>5</v>
      </c>
      <c r="L14" s="1555"/>
      <c r="M14" s="1556"/>
      <c r="N14" s="599"/>
      <c r="O14" s="584"/>
      <c r="P14" s="584"/>
      <c r="Q14" s="584"/>
      <c r="AA14" s="592"/>
      <c r="AB14" s="593"/>
    </row>
    <row r="15" spans="1:28" s="583" customFormat="1" x14ac:dyDescent="0.2">
      <c r="A15" s="595"/>
      <c r="B15" s="585" t="s">
        <v>601</v>
      </c>
      <c r="C15" s="586">
        <f>C12</f>
        <v>0</v>
      </c>
      <c r="D15" s="587" t="s">
        <v>596</v>
      </c>
      <c r="E15" s="585" t="s">
        <v>601</v>
      </c>
      <c r="F15" s="586">
        <f>F12</f>
        <v>0</v>
      </c>
      <c r="G15" s="586" t="s">
        <v>596</v>
      </c>
      <c r="H15" s="588">
        <f>F15-C15</f>
        <v>0</v>
      </c>
      <c r="I15" s="586" t="s">
        <v>596</v>
      </c>
      <c r="J15" s="589" t="str">
        <f>IF(C15=0,"NUOVO CONSUMO",H15/C15)</f>
        <v>NUOVO CONSUMO</v>
      </c>
      <c r="K15" s="608">
        <v>6</v>
      </c>
      <c r="L15" s="1555"/>
      <c r="M15" s="1556"/>
      <c r="N15" s="599"/>
      <c r="O15" s="584"/>
      <c r="P15" s="584"/>
      <c r="Q15" s="584"/>
      <c r="AA15" s="592"/>
      <c r="AB15" s="593"/>
    </row>
    <row r="16" spans="1:28" s="583" customFormat="1" ht="15" x14ac:dyDescent="0.25">
      <c r="A16" s="595"/>
      <c r="B16" s="1553" t="s">
        <v>602</v>
      </c>
      <c r="C16" s="1566"/>
      <c r="D16" s="1567"/>
      <c r="E16" s="1553" t="s">
        <v>602</v>
      </c>
      <c r="F16" s="1568"/>
      <c r="G16" s="1568"/>
      <c r="H16" s="1568"/>
      <c r="I16" s="1568"/>
      <c r="J16" s="1569"/>
      <c r="K16" s="608">
        <v>7</v>
      </c>
      <c r="L16" s="1555"/>
      <c r="M16" s="1556"/>
      <c r="N16" s="599"/>
      <c r="O16" s="584"/>
      <c r="P16" s="584"/>
      <c r="Q16" s="584"/>
      <c r="AA16" s="592"/>
      <c r="AB16" s="593"/>
    </row>
    <row r="17" spans="1:28" s="583" customFormat="1" x14ac:dyDescent="0.2">
      <c r="A17" s="595"/>
      <c r="B17" s="1557"/>
      <c r="C17" s="1558"/>
      <c r="D17" s="1559"/>
      <c r="E17" s="1560"/>
      <c r="F17" s="1558"/>
      <c r="G17" s="1558"/>
      <c r="H17" s="1558"/>
      <c r="I17" s="1558"/>
      <c r="J17" s="1559"/>
      <c r="K17" s="608">
        <v>8</v>
      </c>
      <c r="L17" s="1555"/>
      <c r="M17" s="1556"/>
      <c r="N17" s="599"/>
      <c r="O17" s="584"/>
      <c r="P17" s="584"/>
      <c r="Q17" s="584"/>
      <c r="AA17" s="592"/>
      <c r="AB17" s="593"/>
    </row>
    <row r="18" spans="1:28" s="583" customFormat="1" x14ac:dyDescent="0.2">
      <c r="A18" s="595"/>
      <c r="B18" s="1560"/>
      <c r="C18" s="1558"/>
      <c r="D18" s="1559"/>
      <c r="E18" s="1560"/>
      <c r="F18" s="1558"/>
      <c r="G18" s="1558"/>
      <c r="H18" s="1558"/>
      <c r="I18" s="1558"/>
      <c r="J18" s="1559"/>
      <c r="K18" s="608">
        <v>9</v>
      </c>
      <c r="L18" s="1555"/>
      <c r="M18" s="1556"/>
      <c r="N18" s="599"/>
      <c r="O18" s="584"/>
      <c r="P18" s="584"/>
      <c r="Q18" s="584"/>
      <c r="AA18" s="592"/>
      <c r="AB18" s="593"/>
    </row>
    <row r="19" spans="1:28" s="583" customFormat="1" x14ac:dyDescent="0.2">
      <c r="A19" s="595"/>
      <c r="B19" s="1560"/>
      <c r="C19" s="1558"/>
      <c r="D19" s="1559"/>
      <c r="E19" s="1560"/>
      <c r="F19" s="1558"/>
      <c r="G19" s="1558"/>
      <c r="H19" s="1558"/>
      <c r="I19" s="1558"/>
      <c r="J19" s="1559"/>
      <c r="K19" s="608">
        <v>10</v>
      </c>
      <c r="L19" s="1555"/>
      <c r="M19" s="1556"/>
      <c r="N19" s="599"/>
      <c r="O19" s="584"/>
      <c r="P19" s="584"/>
      <c r="Q19" s="584"/>
      <c r="AA19" s="592"/>
      <c r="AB19" s="593"/>
    </row>
    <row r="20" spans="1:28" s="583" customFormat="1" ht="13.5" thickBot="1" x14ac:dyDescent="0.25">
      <c r="A20" s="609"/>
      <c r="B20" s="1561"/>
      <c r="C20" s="1562"/>
      <c r="D20" s="1563"/>
      <c r="E20" s="1561"/>
      <c r="F20" s="1562"/>
      <c r="G20" s="1562"/>
      <c r="H20" s="1562"/>
      <c r="I20" s="1562"/>
      <c r="J20" s="1563"/>
      <c r="K20" s="610">
        <v>11</v>
      </c>
      <c r="L20" s="1564"/>
      <c r="M20" s="1565"/>
      <c r="N20" s="609"/>
      <c r="O20" s="590"/>
      <c r="AA20" s="592"/>
      <c r="AB20" s="593"/>
    </row>
    <row r="21" spans="1:28" s="583" customFormat="1" x14ac:dyDescent="0.2">
      <c r="A21" s="611"/>
      <c r="B21" s="612"/>
      <c r="C21" s="612"/>
      <c r="D21" s="612"/>
      <c r="E21" s="612"/>
      <c r="F21" s="613"/>
      <c r="G21" s="613"/>
      <c r="H21" s="613"/>
      <c r="I21" s="611"/>
      <c r="J21" s="611"/>
      <c r="K21" s="611"/>
      <c r="L21" s="611"/>
      <c r="M21" s="611"/>
      <c r="N21" s="611"/>
      <c r="O21" s="591"/>
      <c r="AA21" s="592"/>
      <c r="AB21" s="593"/>
    </row>
    <row r="22" spans="1:28" s="583" customFormat="1" x14ac:dyDescent="0.2">
      <c r="A22" s="611"/>
      <c r="B22" s="612"/>
      <c r="C22" s="612"/>
      <c r="D22" s="612"/>
      <c r="E22" s="612"/>
      <c r="F22" s="613"/>
      <c r="G22" s="613"/>
      <c r="H22" s="613"/>
      <c r="I22" s="611"/>
      <c r="J22" s="611"/>
      <c r="K22" s="611"/>
      <c r="L22" s="611"/>
      <c r="M22" s="611"/>
      <c r="N22" s="611"/>
      <c r="O22" s="591"/>
      <c r="AA22" s="592"/>
      <c r="AB22" s="593"/>
    </row>
    <row r="23" spans="1:28" s="583" customFormat="1" x14ac:dyDescent="0.2">
      <c r="A23" s="611"/>
      <c r="B23" s="614" t="s">
        <v>603</v>
      </c>
      <c r="C23" s="614"/>
      <c r="D23" s="614"/>
      <c r="E23" s="614"/>
      <c r="F23" s="615"/>
      <c r="G23" s="615"/>
      <c r="H23" s="615"/>
      <c r="I23" s="616"/>
      <c r="J23" s="616"/>
      <c r="K23" s="616"/>
      <c r="L23" s="616"/>
      <c r="M23" s="616"/>
      <c r="N23" s="611"/>
      <c r="O23" s="591"/>
      <c r="AA23" s="592"/>
      <c r="AB23" s="593"/>
    </row>
    <row r="24" spans="1:28" s="583" customFormat="1" x14ac:dyDescent="0.2">
      <c r="A24" s="617"/>
      <c r="B24" s="615" t="s">
        <v>604</v>
      </c>
      <c r="C24" s="615"/>
      <c r="D24" s="615"/>
      <c r="E24" s="615"/>
      <c r="F24" s="615"/>
      <c r="G24" s="615"/>
      <c r="H24" s="615"/>
      <c r="I24" s="616"/>
      <c r="J24" s="616"/>
      <c r="K24" s="616"/>
      <c r="L24" s="616"/>
      <c r="M24" s="616"/>
      <c r="N24" s="611"/>
      <c r="O24" s="591"/>
      <c r="AA24" s="592"/>
      <c r="AB24" s="593"/>
    </row>
    <row r="25" spans="1:28" s="583" customFormat="1" x14ac:dyDescent="0.2">
      <c r="A25" s="617"/>
      <c r="B25" s="615" t="s">
        <v>611</v>
      </c>
      <c r="C25" s="615"/>
      <c r="D25" s="615"/>
      <c r="E25" s="615"/>
      <c r="F25" s="615"/>
      <c r="G25" s="615"/>
      <c r="H25" s="615"/>
      <c r="I25" s="616"/>
      <c r="J25" s="616"/>
      <c r="K25" s="616"/>
      <c r="L25" s="616"/>
      <c r="M25" s="616"/>
      <c r="N25" s="611"/>
      <c r="O25" s="591"/>
      <c r="AA25" s="592"/>
      <c r="AB25" s="593"/>
    </row>
    <row r="26" spans="1:28" s="583" customFormat="1" x14ac:dyDescent="0.2">
      <c r="A26" s="617"/>
      <c r="B26" s="615"/>
      <c r="C26" s="615"/>
      <c r="D26" s="615"/>
      <c r="E26" s="615"/>
      <c r="F26" s="615"/>
      <c r="G26" s="615"/>
      <c r="H26" s="615"/>
      <c r="I26" s="616"/>
      <c r="J26" s="616"/>
      <c r="K26" s="616"/>
      <c r="L26" s="616"/>
      <c r="M26" s="616"/>
      <c r="N26" s="611"/>
      <c r="O26" s="591"/>
      <c r="AA26" s="592"/>
      <c r="AB26" s="593"/>
    </row>
    <row r="27" spans="1:28" s="583" customFormat="1" x14ac:dyDescent="0.2">
      <c r="A27" s="617"/>
      <c r="B27" s="615"/>
      <c r="C27" s="615"/>
      <c r="D27" s="615"/>
      <c r="E27" s="615"/>
      <c r="F27" s="615"/>
      <c r="G27" s="615"/>
      <c r="H27" s="615"/>
      <c r="I27" s="616"/>
      <c r="J27" s="616"/>
      <c r="K27" s="616"/>
      <c r="L27" s="616"/>
      <c r="M27" s="616"/>
      <c r="N27" s="611"/>
      <c r="O27" s="591"/>
      <c r="AA27" s="592"/>
      <c r="AB27" s="593"/>
    </row>
    <row r="28" spans="1:28" s="583" customFormat="1" x14ac:dyDescent="0.2">
      <c r="A28" s="617"/>
      <c r="B28" s="615"/>
      <c r="C28" s="615"/>
      <c r="D28" s="615"/>
      <c r="E28" s="615"/>
      <c r="F28" s="615"/>
      <c r="G28" s="615"/>
      <c r="H28" s="615"/>
      <c r="I28" s="616"/>
      <c r="J28" s="616"/>
      <c r="K28" s="616"/>
      <c r="L28" s="616"/>
      <c r="M28" s="616"/>
      <c r="N28" s="611"/>
      <c r="O28" s="591"/>
      <c r="AA28" s="592"/>
      <c r="AB28" s="593"/>
    </row>
    <row r="29" spans="1:28" s="583" customFormat="1" x14ac:dyDescent="0.2">
      <c r="A29" s="617"/>
      <c r="B29" s="615"/>
      <c r="C29" s="615"/>
      <c r="D29" s="615"/>
      <c r="E29" s="615"/>
      <c r="F29" s="615"/>
      <c r="G29" s="615"/>
      <c r="H29" s="615"/>
      <c r="I29" s="616"/>
      <c r="J29" s="616"/>
      <c r="K29" s="616"/>
      <c r="L29" s="616"/>
      <c r="M29" s="616"/>
      <c r="N29" s="611"/>
      <c r="O29" s="591"/>
      <c r="AA29" s="592"/>
      <c r="AB29" s="593"/>
    </row>
    <row r="30" spans="1:28" s="583" customFormat="1" x14ac:dyDescent="0.2">
      <c r="A30" s="617"/>
      <c r="B30" s="615"/>
      <c r="C30" s="615"/>
      <c r="D30" s="615"/>
      <c r="E30" s="615"/>
      <c r="F30" s="615"/>
      <c r="G30" s="615"/>
      <c r="H30" s="615"/>
      <c r="I30" s="616"/>
      <c r="J30" s="616"/>
      <c r="K30" s="616"/>
      <c r="L30" s="616"/>
      <c r="M30" s="616"/>
      <c r="N30" s="611"/>
      <c r="O30" s="591"/>
      <c r="AA30" s="592"/>
      <c r="AB30" s="593"/>
    </row>
    <row r="31" spans="1:28" s="583" customFormat="1" x14ac:dyDescent="0.2">
      <c r="A31" s="617"/>
      <c r="B31" s="613"/>
      <c r="C31" s="613"/>
      <c r="D31" s="613"/>
      <c r="E31" s="613"/>
      <c r="F31" s="613"/>
      <c r="G31" s="613"/>
      <c r="H31" s="613"/>
      <c r="I31" s="611"/>
      <c r="J31" s="611"/>
      <c r="K31" s="611"/>
      <c r="L31" s="611"/>
      <c r="M31" s="611"/>
      <c r="N31" s="611"/>
      <c r="O31" s="591"/>
      <c r="AA31" s="592"/>
      <c r="AB31" s="593"/>
    </row>
    <row r="32" spans="1:28" s="583" customFormat="1" x14ac:dyDescent="0.2">
      <c r="A32" s="617"/>
      <c r="B32" s="613"/>
      <c r="C32" s="613"/>
      <c r="D32" s="613"/>
      <c r="E32" s="613"/>
      <c r="F32" s="613"/>
      <c r="G32" s="613"/>
      <c r="H32" s="613"/>
      <c r="I32" s="611"/>
      <c r="J32" s="611"/>
      <c r="K32" s="611"/>
      <c r="L32" s="611"/>
      <c r="M32" s="611"/>
      <c r="N32" s="611"/>
      <c r="O32" s="591"/>
      <c r="AA32" s="592"/>
      <c r="AB32" s="593"/>
    </row>
    <row r="33" spans="1:28" s="583" customFormat="1" x14ac:dyDescent="0.2">
      <c r="A33" s="617"/>
      <c r="B33" s="613"/>
      <c r="C33" s="613"/>
      <c r="D33" s="613"/>
      <c r="E33" s="613"/>
      <c r="F33" s="613"/>
      <c r="G33" s="613"/>
      <c r="H33" s="613"/>
      <c r="I33" s="611"/>
      <c r="J33" s="611"/>
      <c r="K33" s="611"/>
      <c r="L33" s="611"/>
      <c r="M33" s="611"/>
      <c r="N33" s="611"/>
      <c r="O33" s="591"/>
      <c r="AA33" s="592"/>
      <c r="AB33" s="593"/>
    </row>
    <row r="34" spans="1:28" s="583" customFormat="1" x14ac:dyDescent="0.2">
      <c r="A34" s="617"/>
      <c r="B34" s="613"/>
      <c r="C34" s="613"/>
      <c r="D34" s="613"/>
      <c r="E34" s="613"/>
      <c r="F34" s="613"/>
      <c r="G34" s="613"/>
      <c r="H34" s="613"/>
      <c r="I34" s="611"/>
      <c r="J34" s="611"/>
      <c r="K34" s="611"/>
      <c r="L34" s="611"/>
      <c r="M34" s="611"/>
      <c r="N34" s="611"/>
      <c r="O34" s="591"/>
      <c r="AA34" s="592"/>
      <c r="AB34" s="593"/>
    </row>
    <row r="35" spans="1:28" s="583" customFormat="1" x14ac:dyDescent="0.2">
      <c r="A35" s="617"/>
      <c r="B35" s="613"/>
      <c r="C35" s="613"/>
      <c r="D35" s="613"/>
      <c r="E35" s="613"/>
      <c r="F35" s="613"/>
      <c r="G35" s="613"/>
      <c r="H35" s="613"/>
      <c r="I35" s="611"/>
      <c r="J35" s="611"/>
      <c r="K35" s="611"/>
      <c r="L35" s="611"/>
      <c r="M35" s="611"/>
      <c r="N35" s="611"/>
      <c r="O35" s="591"/>
      <c r="AA35" s="592"/>
      <c r="AB35" s="593"/>
    </row>
    <row r="36" spans="1:28" s="583" customFormat="1" x14ac:dyDescent="0.2">
      <c r="A36" s="617"/>
      <c r="B36" s="613"/>
      <c r="C36" s="613"/>
      <c r="D36" s="613"/>
      <c r="E36" s="613"/>
      <c r="F36" s="613"/>
      <c r="G36" s="613"/>
      <c r="H36" s="613"/>
      <c r="I36" s="611"/>
      <c r="J36" s="611"/>
      <c r="K36" s="611"/>
      <c r="L36" s="611"/>
      <c r="M36" s="611"/>
      <c r="N36" s="611"/>
      <c r="O36" s="591"/>
      <c r="AA36" s="592"/>
      <c r="AB36" s="593"/>
    </row>
    <row r="37" spans="1:28" s="583" customFormat="1" x14ac:dyDescent="0.2">
      <c r="A37" s="617"/>
      <c r="B37" s="613"/>
      <c r="C37" s="613"/>
      <c r="D37" s="613"/>
      <c r="E37" s="613"/>
      <c r="F37" s="613"/>
      <c r="G37" s="613"/>
      <c r="H37" s="613"/>
      <c r="I37" s="611"/>
      <c r="J37" s="611"/>
      <c r="K37" s="611"/>
      <c r="L37" s="611"/>
      <c r="M37" s="611"/>
      <c r="N37" s="611"/>
      <c r="O37" s="591"/>
      <c r="AA37" s="592"/>
      <c r="AB37" s="593"/>
    </row>
    <row r="38" spans="1:28" s="583" customFormat="1" x14ac:dyDescent="0.2">
      <c r="A38" s="617"/>
      <c r="B38" s="613"/>
      <c r="C38" s="613"/>
      <c r="D38" s="613"/>
      <c r="E38" s="613"/>
      <c r="F38" s="613"/>
      <c r="G38" s="613"/>
      <c r="H38" s="613"/>
      <c r="I38" s="611"/>
      <c r="J38" s="611"/>
      <c r="K38" s="611"/>
      <c r="L38" s="611"/>
      <c r="M38" s="611"/>
      <c r="N38" s="611"/>
      <c r="O38" s="591"/>
      <c r="AA38" s="592"/>
      <c r="AB38" s="593"/>
    </row>
    <row r="39" spans="1:28" s="583" customFormat="1" x14ac:dyDescent="0.2">
      <c r="A39" s="617"/>
      <c r="B39" s="613"/>
      <c r="C39" s="613"/>
      <c r="D39" s="613"/>
      <c r="E39" s="613"/>
      <c r="F39" s="613"/>
      <c r="G39" s="613"/>
      <c r="H39" s="613"/>
      <c r="I39" s="611"/>
      <c r="J39" s="611"/>
      <c r="K39" s="611"/>
      <c r="L39" s="611"/>
      <c r="M39" s="611"/>
      <c r="N39" s="611"/>
      <c r="O39" s="591"/>
      <c r="AA39" s="592"/>
      <c r="AB39" s="593"/>
    </row>
    <row r="40" spans="1:28" s="583" customFormat="1" x14ac:dyDescent="0.2">
      <c r="A40" s="617"/>
      <c r="B40" s="613"/>
      <c r="C40" s="613"/>
      <c r="D40" s="613"/>
      <c r="E40" s="613"/>
      <c r="F40" s="613"/>
      <c r="G40" s="613"/>
      <c r="H40" s="613"/>
      <c r="I40" s="611"/>
      <c r="J40" s="611"/>
      <c r="K40" s="611"/>
      <c r="L40" s="611"/>
      <c r="M40" s="611"/>
      <c r="N40" s="611"/>
      <c r="O40" s="591"/>
      <c r="AA40" s="592"/>
      <c r="AB40" s="593"/>
    </row>
    <row r="41" spans="1:28" s="583" customFormat="1" x14ac:dyDescent="0.2">
      <c r="A41" s="617"/>
      <c r="B41" s="613"/>
      <c r="C41" s="613"/>
      <c r="D41" s="613"/>
      <c r="E41" s="613"/>
      <c r="F41" s="613"/>
      <c r="G41" s="613"/>
      <c r="H41" s="613"/>
      <c r="I41" s="611"/>
      <c r="J41" s="611"/>
      <c r="K41" s="611"/>
      <c r="L41" s="611"/>
      <c r="M41" s="611"/>
      <c r="N41" s="611"/>
      <c r="O41" s="591"/>
      <c r="AA41" s="592"/>
      <c r="AB41" s="593"/>
    </row>
  </sheetData>
  <mergeCells count="33">
    <mergeCell ref="B3:J3"/>
    <mergeCell ref="B4:E4"/>
    <mergeCell ref="F4:H4"/>
    <mergeCell ref="I4:J4"/>
    <mergeCell ref="B5:E5"/>
    <mergeCell ref="F5:H5"/>
    <mergeCell ref="I5:J5"/>
    <mergeCell ref="B16:D16"/>
    <mergeCell ref="E16:J16"/>
    <mergeCell ref="L16:M16"/>
    <mergeCell ref="E13:G13"/>
    <mergeCell ref="B8:D8"/>
    <mergeCell ref="E8:J8"/>
    <mergeCell ref="K8:M8"/>
    <mergeCell ref="C9:D9"/>
    <mergeCell ref="H9:J9"/>
    <mergeCell ref="K9:M9"/>
    <mergeCell ref="F9:G9"/>
    <mergeCell ref="L13:M13"/>
    <mergeCell ref="L14:M14"/>
    <mergeCell ref="L15:M15"/>
    <mergeCell ref="B13:D13"/>
    <mergeCell ref="B10:D10"/>
    <mergeCell ref="L18:M18"/>
    <mergeCell ref="L19:M19"/>
    <mergeCell ref="B17:D20"/>
    <mergeCell ref="E17:J20"/>
    <mergeCell ref="L20:M20"/>
    <mergeCell ref="E10:G10"/>
    <mergeCell ref="L10:M10"/>
    <mergeCell ref="L11:M11"/>
    <mergeCell ref="L12:M12"/>
    <mergeCell ref="L17:M17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86"/>
  <sheetViews>
    <sheetView zoomScale="70" zoomScaleNormal="70" workbookViewId="0"/>
  </sheetViews>
  <sheetFormatPr defaultRowHeight="15.75" x14ac:dyDescent="0.25"/>
  <cols>
    <col min="1" max="1" width="4.75" style="739" customWidth="1"/>
    <col min="2" max="2" width="31.625" style="739" customWidth="1"/>
    <col min="3" max="5" width="15.625" style="739" customWidth="1"/>
    <col min="6" max="6" width="6.75" style="739" bestFit="1" customWidth="1"/>
    <col min="7" max="7" width="9" style="739"/>
    <col min="8" max="8" width="28.625" style="739" customWidth="1"/>
    <col min="9" max="11" width="15.625" style="739" customWidth="1"/>
    <col min="12" max="12" width="4" style="739" customWidth="1"/>
    <col min="13" max="17" width="9" style="739"/>
    <col min="18" max="18" width="9" style="1178"/>
  </cols>
  <sheetData>
    <row r="2" spans="1:17" x14ac:dyDescent="0.25">
      <c r="B2" s="1180" t="s">
        <v>709</v>
      </c>
      <c r="C2" s="1180"/>
      <c r="D2" s="1180"/>
      <c r="E2" s="1180"/>
      <c r="F2" s="1180"/>
      <c r="G2" s="1180"/>
      <c r="H2" s="1180"/>
      <c r="I2" s="1180"/>
      <c r="J2" s="1180"/>
      <c r="K2" s="1180"/>
      <c r="L2" s="1179"/>
    </row>
    <row r="3" spans="1:17" s="1178" customFormat="1" x14ac:dyDescent="0.25">
      <c r="A3" s="739"/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739"/>
      <c r="M3" s="739"/>
      <c r="N3" s="739"/>
      <c r="O3" s="739"/>
      <c r="P3" s="739"/>
      <c r="Q3" s="739"/>
    </row>
    <row r="4" spans="1:17" x14ac:dyDescent="0.25">
      <c r="B4" s="1181" t="s">
        <v>710</v>
      </c>
      <c r="C4" s="1610"/>
      <c r="D4" s="1610"/>
      <c r="E4" s="1610"/>
      <c r="F4" s="1610"/>
      <c r="G4" s="1610"/>
      <c r="H4" s="1610"/>
      <c r="I4" s="1610"/>
      <c r="J4" s="1610"/>
      <c r="K4" s="1610"/>
      <c r="L4" s="1610"/>
    </row>
    <row r="5" spans="1:17" x14ac:dyDescent="0.25">
      <c r="B5" s="1181" t="s">
        <v>711</v>
      </c>
      <c r="C5" s="1611"/>
      <c r="D5" s="1611"/>
      <c r="E5" s="1611"/>
      <c r="F5" s="1611"/>
      <c r="G5" s="1611"/>
      <c r="H5" s="1611"/>
      <c r="I5" s="1611"/>
      <c r="J5" s="1611"/>
      <c r="K5" s="1611"/>
      <c r="L5" s="1611"/>
    </row>
    <row r="6" spans="1:17" x14ac:dyDescent="0.25">
      <c r="B6" s="1181" t="s">
        <v>712</v>
      </c>
      <c r="C6" s="1610"/>
      <c r="D6" s="1610"/>
      <c r="E6" s="1610"/>
      <c r="F6" s="1610"/>
      <c r="G6" s="1610"/>
      <c r="H6" s="1610"/>
      <c r="I6" s="1610"/>
      <c r="J6" s="1610"/>
      <c r="K6" s="1610"/>
      <c r="L6" s="1610"/>
    </row>
    <row r="7" spans="1:17" x14ac:dyDescent="0.25">
      <c r="B7" s="1181" t="s">
        <v>713</v>
      </c>
      <c r="C7" s="1611"/>
      <c r="D7" s="1611"/>
      <c r="E7" s="1611"/>
      <c r="F7" s="1611"/>
      <c r="G7" s="1611"/>
      <c r="H7" s="1611"/>
      <c r="I7" s="1611"/>
      <c r="J7" s="1611"/>
      <c r="K7" s="1611"/>
      <c r="L7" s="1611"/>
    </row>
    <row r="8" spans="1:17" x14ac:dyDescent="0.25">
      <c r="B8" s="1181" t="s">
        <v>714</v>
      </c>
      <c r="C8" s="1610"/>
      <c r="D8" s="1610"/>
      <c r="E8" s="1610"/>
      <c r="F8" s="1610"/>
      <c r="G8" s="1610"/>
      <c r="H8" s="1610"/>
      <c r="I8" s="1610"/>
      <c r="J8" s="1610"/>
      <c r="K8" s="1610"/>
      <c r="L8" s="1610"/>
    </row>
    <row r="9" spans="1:17" x14ac:dyDescent="0.25">
      <c r="B9" s="1181" t="s">
        <v>715</v>
      </c>
      <c r="C9" s="1611"/>
      <c r="D9" s="1611"/>
      <c r="E9" s="1611"/>
      <c r="F9" s="1611"/>
      <c r="G9" s="1611"/>
      <c r="H9" s="1611"/>
      <c r="I9" s="1611"/>
      <c r="J9" s="1611"/>
      <c r="K9" s="1611"/>
      <c r="L9" s="1611"/>
    </row>
    <row r="10" spans="1:17" x14ac:dyDescent="0.25">
      <c r="B10" s="1181" t="s">
        <v>716</v>
      </c>
      <c r="C10" s="1610"/>
      <c r="D10" s="1610"/>
      <c r="E10" s="1610"/>
      <c r="F10" s="1610"/>
      <c r="G10" s="1610"/>
      <c r="H10" s="1610"/>
      <c r="I10" s="1610"/>
      <c r="J10" s="1610"/>
      <c r="K10" s="1610"/>
      <c r="L10" s="1610"/>
    </row>
    <row r="11" spans="1:17" x14ac:dyDescent="0.25">
      <c r="B11" s="1181" t="s">
        <v>717</v>
      </c>
      <c r="C11" s="1611"/>
      <c r="D11" s="1611"/>
      <c r="E11" s="1611"/>
      <c r="F11" s="1611"/>
      <c r="G11" s="1611"/>
      <c r="H11" s="1611"/>
      <c r="I11" s="1611"/>
      <c r="J11" s="1611"/>
      <c r="K11" s="1611"/>
      <c r="L11" s="1611"/>
    </row>
    <row r="12" spans="1:17" x14ac:dyDescent="0.25">
      <c r="B12" s="1181"/>
      <c r="C12" s="1181"/>
      <c r="D12" s="1181"/>
      <c r="E12" s="1181"/>
      <c r="F12" s="1181"/>
      <c r="G12" s="1181"/>
      <c r="H12" s="1181"/>
      <c r="I12" s="1181"/>
      <c r="J12" s="1181"/>
      <c r="K12" s="1181"/>
      <c r="L12" s="1181"/>
    </row>
    <row r="13" spans="1:17" x14ac:dyDescent="0.25">
      <c r="B13" s="1180" t="s">
        <v>726</v>
      </c>
      <c r="C13" s="1180"/>
      <c r="D13" s="1180"/>
      <c r="E13" s="1180"/>
      <c r="F13" s="1180"/>
      <c r="G13" s="1180"/>
      <c r="H13" s="1180"/>
      <c r="I13" s="1180"/>
      <c r="J13" s="1180"/>
      <c r="K13" s="1180"/>
      <c r="L13" s="1179"/>
    </row>
    <row r="14" spans="1:17" s="1178" customFormat="1" x14ac:dyDescent="0.25">
      <c r="A14" s="739"/>
      <c r="B14" s="1189"/>
      <c r="C14" s="1189"/>
      <c r="D14" s="1189"/>
      <c r="E14" s="1189"/>
      <c r="F14" s="1189"/>
      <c r="G14" s="1189"/>
      <c r="H14" s="1189"/>
      <c r="I14" s="1189"/>
      <c r="J14" s="1189"/>
      <c r="K14" s="1189"/>
      <c r="L14" s="739"/>
      <c r="M14" s="739"/>
      <c r="N14" s="739"/>
      <c r="O14" s="739"/>
      <c r="P14" s="739"/>
      <c r="Q14" s="739"/>
    </row>
    <row r="15" spans="1:17" x14ac:dyDescent="0.25">
      <c r="B15" s="1181" t="s">
        <v>727</v>
      </c>
      <c r="C15" s="1198">
        <f>IFERROR('2-Dati generali-Cond. utilizzo'!D21,0)</f>
        <v>0</v>
      </c>
      <c r="D15" s="1199" t="str">
        <f>'2-Dati generali-Cond. utilizzo'!C21</f>
        <v>cent € / m3</v>
      </c>
      <c r="E15" s="1197"/>
      <c r="G15" s="1181"/>
      <c r="H15" s="1181"/>
      <c r="I15" s="1181"/>
      <c r="J15" s="1181"/>
      <c r="K15" s="1181"/>
      <c r="L15" s="1181"/>
    </row>
    <row r="16" spans="1:17" x14ac:dyDescent="0.25">
      <c r="B16" s="1181" t="s">
        <v>728</v>
      </c>
      <c r="C16" s="1197">
        <f>IFERROR('2-Dati generali-Cond. utilizzo'!D23,0)</f>
        <v>0</v>
      </c>
      <c r="D16" s="1181" t="str">
        <f>'2-Dati generali-Cond. utilizzo'!C23</f>
        <v>cent € / kWh</v>
      </c>
      <c r="E16" s="1197"/>
      <c r="G16" s="1181"/>
      <c r="H16" s="1181"/>
      <c r="I16" s="1181"/>
      <c r="J16" s="1181"/>
      <c r="K16" s="1181"/>
      <c r="L16" s="1181"/>
    </row>
    <row r="17" spans="2:12" x14ac:dyDescent="0.25">
      <c r="B17" s="1181" t="s">
        <v>729</v>
      </c>
      <c r="C17" s="1198">
        <f>IFERROR('2-Dati generali-Cond. utilizzo'!C7,0)</f>
        <v>0</v>
      </c>
      <c r="D17" s="1199" t="s">
        <v>6</v>
      </c>
      <c r="E17" s="1197"/>
      <c r="G17" s="1181"/>
      <c r="H17" s="1181"/>
      <c r="I17" s="1181"/>
      <c r="J17" s="1181"/>
      <c r="K17" s="1181"/>
      <c r="L17" s="1181"/>
    </row>
    <row r="18" spans="2:12" x14ac:dyDescent="0.25">
      <c r="B18" s="1181" t="s">
        <v>529</v>
      </c>
      <c r="C18" s="1197">
        <f>IFERROR('2-Dati generali-Cond. utilizzo'!D17,0)</f>
        <v>0</v>
      </c>
      <c r="D18" s="739" t="s">
        <v>44</v>
      </c>
      <c r="E18" s="1197"/>
      <c r="G18" s="1181"/>
      <c r="H18" s="1181"/>
      <c r="I18" s="1181"/>
      <c r="J18" s="1181"/>
      <c r="K18" s="1181"/>
      <c r="L18" s="1181"/>
    </row>
    <row r="19" spans="2:12" x14ac:dyDescent="0.25">
      <c r="B19" s="1181" t="s">
        <v>730</v>
      </c>
      <c r="C19" s="1198">
        <f>IFERROR('2-Dati generali-Cond. utilizzo'!C6,0)</f>
        <v>0</v>
      </c>
      <c r="D19" s="1199" t="s">
        <v>6</v>
      </c>
      <c r="E19" s="1197"/>
      <c r="G19" s="1181"/>
      <c r="H19" s="1181"/>
      <c r="I19" s="1181"/>
      <c r="J19" s="1181"/>
      <c r="K19" s="1181"/>
      <c r="L19" s="1181"/>
    </row>
    <row r="20" spans="2:12" x14ac:dyDescent="0.25">
      <c r="B20" s="1181" t="s">
        <v>731</v>
      </c>
      <c r="C20" s="1197">
        <f>IFERROR('2-Dati generali-Cond. utilizzo'!D19,0)</f>
        <v>0</v>
      </c>
      <c r="D20" s="739" t="s">
        <v>44</v>
      </c>
      <c r="E20" s="1197"/>
    </row>
    <row r="22" spans="2:12" x14ac:dyDescent="0.25">
      <c r="B22" s="1180" t="s">
        <v>698</v>
      </c>
      <c r="C22" s="1180"/>
      <c r="D22" s="1180"/>
      <c r="E22" s="1180"/>
      <c r="F22" s="1180"/>
      <c r="H22" s="1180" t="s">
        <v>703</v>
      </c>
      <c r="I22" s="1180"/>
      <c r="J22" s="1180"/>
      <c r="K22" s="1180"/>
      <c r="L22" s="1180"/>
    </row>
    <row r="24" spans="2:12" x14ac:dyDescent="0.25">
      <c r="B24" s="1181" t="s">
        <v>215</v>
      </c>
      <c r="C24" s="1200">
        <f>IFERROR('5-Costi di funziona.- pay back'!F5,0)</f>
        <v>0</v>
      </c>
      <c r="D24" s="1200">
        <f>IFERROR('5-Costi di funziona.- pay back'!G5,0)</f>
        <v>0</v>
      </c>
      <c r="E24" s="1200">
        <f>IFERROR('5-Costi di funziona.- pay back'!H5,0)</f>
        <v>0</v>
      </c>
      <c r="F24" s="1181"/>
      <c r="G24" s="1181"/>
      <c r="H24" s="1181" t="s">
        <v>215</v>
      </c>
      <c r="I24" s="1200">
        <f>IFERROR('5-Costi di funziona.- pay back'!K5,0)</f>
        <v>0</v>
      </c>
      <c r="J24" s="1200">
        <f>IFERROR('5-Costi di funziona.- pay back'!L5,0)</f>
        <v>0</v>
      </c>
      <c r="K24" s="1200">
        <f>IFERROR('5-Costi di funziona.- pay back'!M5,0)</f>
        <v>0</v>
      </c>
      <c r="L24" s="1181"/>
    </row>
    <row r="25" spans="2:12" x14ac:dyDescent="0.25">
      <c r="B25" s="1181" t="s">
        <v>576</v>
      </c>
      <c r="C25" s="1177" t="str">
        <f>IFERROR('5-Costi di funziona.- pay back'!F7,0)</f>
        <v/>
      </c>
      <c r="D25" s="1177" t="str">
        <f>IFERROR('5-Costi di funziona.- pay back'!G7,0)</f>
        <v/>
      </c>
      <c r="E25" s="1177" t="str">
        <f>IFERROR('5-Costi di funziona.- pay back'!H7,0)</f>
        <v/>
      </c>
      <c r="F25" s="1181"/>
      <c r="G25" s="1181"/>
      <c r="H25" s="1181" t="s">
        <v>576</v>
      </c>
      <c r="I25" s="1177" t="str">
        <f>IFERROR('5-Costi di funziona.- pay back'!K7,0)</f>
        <v/>
      </c>
      <c r="J25" s="1177" t="str">
        <f>IFERROR('5-Costi di funziona.- pay back'!L7,0)</f>
        <v/>
      </c>
      <c r="K25" s="1177" t="str">
        <f>IFERROR('5-Costi di funziona.- pay back'!M7,0)</f>
        <v/>
      </c>
      <c r="L25" s="1181"/>
    </row>
    <row r="27" spans="2:12" x14ac:dyDescent="0.25">
      <c r="B27" s="1180" t="s">
        <v>718</v>
      </c>
      <c r="C27" s="1180"/>
      <c r="D27" s="1180"/>
      <c r="E27" s="1180"/>
      <c r="F27" s="1180"/>
      <c r="H27" s="1180" t="s">
        <v>718</v>
      </c>
      <c r="I27" s="1180"/>
      <c r="J27" s="1180"/>
      <c r="K27" s="1180"/>
      <c r="L27" s="1180"/>
    </row>
    <row r="29" spans="2:12" x14ac:dyDescent="0.25">
      <c r="B29" s="1199" t="s">
        <v>720</v>
      </c>
      <c r="C29" s="1606">
        <f>IFERROR('5-Costi di funziona.- pay back'!C37,0)</f>
        <v>0</v>
      </c>
      <c r="D29" s="1606"/>
      <c r="E29" s="1606"/>
      <c r="F29" s="1199" t="s">
        <v>72</v>
      </c>
      <c r="G29" s="1181"/>
      <c r="H29" s="1199" t="s">
        <v>720</v>
      </c>
      <c r="I29" s="1606">
        <f>IFERROR('5-Costi di funziona.- pay back'!C37,0)</f>
        <v>0</v>
      </c>
      <c r="J29" s="1606"/>
      <c r="K29" s="1606"/>
      <c r="L29" s="1199" t="s">
        <v>72</v>
      </c>
    </row>
    <row r="30" spans="2:12" x14ac:dyDescent="0.25">
      <c r="B30" s="1181" t="s">
        <v>721</v>
      </c>
      <c r="C30" s="1605">
        <f>IFERROR('5-Costi di funziona.- pay back'!D37,0)</f>
        <v>0</v>
      </c>
      <c r="D30" s="1605"/>
      <c r="E30" s="1605"/>
      <c r="F30" s="1181" t="s">
        <v>72</v>
      </c>
      <c r="G30" s="1181"/>
      <c r="H30" s="1181" t="s">
        <v>721</v>
      </c>
      <c r="I30" s="1605">
        <f>IFERROR('5-Costi di funziona.- pay back'!D37,0)</f>
        <v>0</v>
      </c>
      <c r="J30" s="1605"/>
      <c r="K30" s="1605"/>
      <c r="L30" s="1181" t="s">
        <v>72</v>
      </c>
    </row>
    <row r="31" spans="2:12" x14ac:dyDescent="0.25">
      <c r="B31" s="1199" t="s">
        <v>722</v>
      </c>
      <c r="C31" s="1606">
        <f>IFERROR('5-Costi di funziona.- pay back'!C39,0)</f>
        <v>0</v>
      </c>
      <c r="D31" s="1606"/>
      <c r="E31" s="1606"/>
      <c r="F31" s="1199" t="s">
        <v>72</v>
      </c>
      <c r="G31" s="1181"/>
      <c r="H31" s="1199" t="s">
        <v>722</v>
      </c>
      <c r="I31" s="1606">
        <f>IFERROR('5-Costi di funziona.- pay back'!C39,0)</f>
        <v>0</v>
      </c>
      <c r="J31" s="1606"/>
      <c r="K31" s="1606"/>
      <c r="L31" s="1199" t="s">
        <v>72</v>
      </c>
    </row>
    <row r="32" spans="2:12" ht="15.75" customHeight="1" x14ac:dyDescent="0.25">
      <c r="B32" s="1603" t="s">
        <v>743</v>
      </c>
      <c r="C32" s="1602" t="str">
        <f>IFERROR('5-Costi di funziona.- pay back'!F60,0)</f>
        <v/>
      </c>
      <c r="D32" s="1602"/>
      <c r="E32" s="1602"/>
      <c r="F32" s="1181" t="s">
        <v>206</v>
      </c>
      <c r="G32" s="1181"/>
      <c r="H32" s="1181"/>
      <c r="I32" s="1181"/>
      <c r="J32" s="1181"/>
      <c r="K32" s="1181"/>
      <c r="L32" s="1181"/>
    </row>
    <row r="33" spans="2:12" x14ac:dyDescent="0.25">
      <c r="B33" s="1603"/>
      <c r="C33" s="1604" t="e">
        <f>C32/('3-Caratteristiche dei sistemi'!$I$24*1.16)*1000</f>
        <v>#VALUE!</v>
      </c>
      <c r="D33" s="1604"/>
      <c r="E33" s="1604"/>
      <c r="F33" s="1199" t="s">
        <v>723</v>
      </c>
      <c r="G33" s="1181"/>
      <c r="H33" s="1181"/>
      <c r="I33" s="1181"/>
      <c r="J33" s="1181"/>
      <c r="K33" s="1181"/>
      <c r="L33" s="1181"/>
    </row>
    <row r="35" spans="2:12" x14ac:dyDescent="0.25">
      <c r="B35" s="1180" t="s">
        <v>134</v>
      </c>
      <c r="C35" s="1180"/>
      <c r="D35" s="1180"/>
      <c r="E35" s="1180"/>
      <c r="F35" s="1180"/>
      <c r="H35" s="1180" t="s">
        <v>134</v>
      </c>
      <c r="I35" s="1180"/>
      <c r="J35" s="1180"/>
      <c r="K35" s="1180"/>
      <c r="L35" s="1180"/>
    </row>
    <row r="37" spans="2:12" x14ac:dyDescent="0.25">
      <c r="B37" s="1199" t="s">
        <v>738</v>
      </c>
      <c r="C37" s="1601">
        <f>IFERROR('5-Costi di funziona.- pay back'!F26,0)</f>
        <v>0</v>
      </c>
      <c r="D37" s="1601"/>
      <c r="E37" s="1601"/>
      <c r="F37" s="1199"/>
      <c r="G37" s="1181"/>
      <c r="H37" s="1199" t="s">
        <v>738</v>
      </c>
      <c r="I37" s="1601">
        <f>IFERROR('5-Costi di funziona.- pay back'!K26,0)</f>
        <v>0</v>
      </c>
      <c r="J37" s="1601"/>
      <c r="K37" s="1601"/>
      <c r="L37" s="1199"/>
    </row>
    <row r="38" spans="2:12" x14ac:dyDescent="0.25">
      <c r="B38" s="1181" t="s">
        <v>704</v>
      </c>
      <c r="C38" s="1600">
        <f>IFERROR('5-Costi di funziona.- pay back'!F37,0)</f>
        <v>0</v>
      </c>
      <c r="D38" s="1600"/>
      <c r="E38" s="1600"/>
      <c r="F38" s="1181" t="s">
        <v>13</v>
      </c>
      <c r="G38" s="1181"/>
      <c r="H38" s="1181" t="s">
        <v>704</v>
      </c>
      <c r="I38" s="1600">
        <f>IFERROR('5-Costi di funziona.- pay back'!K37,0)</f>
        <v>0</v>
      </c>
      <c r="J38" s="1600"/>
      <c r="K38" s="1600"/>
      <c r="L38" s="1181" t="s">
        <v>13</v>
      </c>
    </row>
    <row r="39" spans="2:12" x14ac:dyDescent="0.25">
      <c r="B39" s="1199" t="s">
        <v>707</v>
      </c>
      <c r="C39" s="1601">
        <f>IFERROR('5-Costi di funziona.- pay back'!I11,0)</f>
        <v>0</v>
      </c>
      <c r="D39" s="1601"/>
      <c r="E39" s="1601"/>
      <c r="F39" s="1199" t="s">
        <v>13</v>
      </c>
      <c r="G39" s="1181"/>
      <c r="H39" s="1199" t="s">
        <v>707</v>
      </c>
      <c r="I39" s="1601">
        <f>IFERROR('5-Costi di funziona.- pay back'!N11+'5-Costi di funziona.- pay back'!N13,0)</f>
        <v>0</v>
      </c>
      <c r="J39" s="1601"/>
      <c r="K39" s="1601"/>
      <c r="L39" s="1199" t="s">
        <v>13</v>
      </c>
    </row>
    <row r="40" spans="2:12" x14ac:dyDescent="0.25">
      <c r="B40" s="1181" t="s">
        <v>708</v>
      </c>
      <c r="C40" s="1600">
        <f>IFERROR('5-Costi di funziona.- pay back'!I9,0)</f>
        <v>0</v>
      </c>
      <c r="D40" s="1600"/>
      <c r="E40" s="1600"/>
      <c r="F40" s="1181" t="s">
        <v>13</v>
      </c>
      <c r="G40" s="1181"/>
      <c r="H40" s="1181" t="s">
        <v>708</v>
      </c>
      <c r="I40" s="1600">
        <f>IFERROR('5-Costi di funziona.- pay back'!N9,0)</f>
        <v>0</v>
      </c>
      <c r="J40" s="1600"/>
      <c r="K40" s="1600"/>
      <c r="L40" s="1181" t="s">
        <v>13</v>
      </c>
    </row>
    <row r="41" spans="2:12" x14ac:dyDescent="0.25">
      <c r="B41" s="1199" t="s">
        <v>699</v>
      </c>
      <c r="C41" s="1601">
        <f>IFERROR('5-Costi di funziona.- pay back'!I41,0)</f>
        <v>0</v>
      </c>
      <c r="D41" s="1601"/>
      <c r="E41" s="1601"/>
      <c r="F41" s="1199" t="s">
        <v>13</v>
      </c>
      <c r="G41" s="1181"/>
      <c r="H41" s="1199" t="s">
        <v>699</v>
      </c>
      <c r="I41" s="1601">
        <f>IFERROR('5-Costi di funziona.- pay back'!N41,0)</f>
        <v>0</v>
      </c>
      <c r="J41" s="1601"/>
      <c r="K41" s="1601"/>
      <c r="L41" s="1199" t="s">
        <v>13</v>
      </c>
    </row>
    <row r="43" spans="2:12" x14ac:dyDescent="0.25">
      <c r="B43" s="1180"/>
      <c r="C43" s="1180"/>
      <c r="D43" s="1180" t="s">
        <v>724</v>
      </c>
      <c r="E43" s="1180"/>
      <c r="F43" s="1180"/>
      <c r="G43" s="1179"/>
      <c r="H43" s="1180"/>
      <c r="I43" s="1180"/>
      <c r="J43" s="1180"/>
      <c r="K43" s="1180"/>
      <c r="L43" s="1180"/>
    </row>
    <row r="45" spans="2:12" x14ac:dyDescent="0.25">
      <c r="B45" s="1199" t="s">
        <v>700</v>
      </c>
      <c r="C45" s="1601" t="str">
        <f>IF('5-Costi di funziona.- pay back'!F60&gt;0,'5-Costi di funziona.- pay back'!F61,'5-Costi di funziona.- pay back'!F52)</f>
        <v/>
      </c>
      <c r="D45" s="1601"/>
      <c r="E45" s="1601"/>
      <c r="F45" s="1199" t="s">
        <v>13</v>
      </c>
      <c r="G45" s="1181"/>
      <c r="H45" s="1181"/>
      <c r="I45" s="1181"/>
      <c r="J45" s="1181"/>
      <c r="K45" s="1181"/>
      <c r="L45" s="1181"/>
    </row>
    <row r="46" spans="2:12" x14ac:dyDescent="0.25">
      <c r="B46" s="1181" t="s">
        <v>701</v>
      </c>
      <c r="C46" s="1609" t="str">
        <f>IF('5-Costi di funziona.- pay back'!F60&gt;0,'5-Costi di funziona.- pay back'!F63,'5-Costi di funziona.- pay back'!F54)</f>
        <v/>
      </c>
      <c r="D46" s="1609"/>
      <c r="E46" s="1609"/>
      <c r="F46" s="1181" t="s">
        <v>705</v>
      </c>
      <c r="G46" s="1181"/>
      <c r="H46" s="1181"/>
      <c r="I46" s="1181"/>
      <c r="J46" s="1181"/>
      <c r="K46" s="1181"/>
      <c r="L46" s="1181"/>
    </row>
    <row r="47" spans="2:12" x14ac:dyDescent="0.25">
      <c r="B47" s="1199" t="s">
        <v>719</v>
      </c>
      <c r="C47" s="1608" t="str">
        <f>IF('5-Costi di funziona.- pay back'!F60&gt;0,'5-Costi di funziona.- pay back'!F58,'5-Costi di funziona.- pay back'!F49)</f>
        <v/>
      </c>
      <c r="D47" s="1608"/>
      <c r="E47" s="1608"/>
      <c r="F47" s="1631" t="s">
        <v>706</v>
      </c>
      <c r="G47" s="1181"/>
      <c r="H47" s="1181"/>
      <c r="I47" s="1181"/>
      <c r="J47" s="1181"/>
      <c r="K47" s="1181"/>
      <c r="L47" s="1181"/>
    </row>
    <row r="48" spans="2:12" x14ac:dyDescent="0.25">
      <c r="B48" s="1181" t="s">
        <v>702</v>
      </c>
      <c r="C48" s="1607" t="str">
        <f>IF('5-Costi di funziona.- pay back'!F60&gt;0,'5-Costi di funziona.- pay back'!F65,'5-Costi di funziona.- pay back'!F56)</f>
        <v/>
      </c>
      <c r="D48" s="1607"/>
      <c r="E48" s="1607"/>
      <c r="F48" s="1632" t="s">
        <v>206</v>
      </c>
      <c r="G48" s="1181"/>
      <c r="H48" s="1181"/>
      <c r="I48" s="1181"/>
      <c r="J48" s="1181"/>
      <c r="K48" s="1181"/>
      <c r="L48" s="1181"/>
    </row>
    <row r="49" spans="2:12" x14ac:dyDescent="0.25">
      <c r="B49" s="1201" t="s">
        <v>746</v>
      </c>
      <c r="C49" s="1601" t="str">
        <f>IF('5-Costi di funziona.- pay back'!F60&gt;0,'5-Costi di funziona.- pay back'!F64,'5-Costi di funziona.- pay back'!F55)</f>
        <v/>
      </c>
      <c r="D49" s="1601"/>
      <c r="E49" s="1601"/>
      <c r="F49" s="1201" t="s">
        <v>13</v>
      </c>
    </row>
    <row r="52" spans="2:12" x14ac:dyDescent="0.25">
      <c r="B52" s="1180"/>
      <c r="C52" s="1180"/>
      <c r="D52" s="1180" t="s">
        <v>725</v>
      </c>
      <c r="E52" s="1180"/>
      <c r="F52" s="1180"/>
      <c r="G52" s="1179"/>
      <c r="H52" s="1180"/>
      <c r="I52" s="1180"/>
      <c r="J52" s="1180"/>
      <c r="K52" s="1180"/>
      <c r="L52" s="1180"/>
    </row>
    <row r="73" spans="9:11" x14ac:dyDescent="0.25">
      <c r="K73"/>
    </row>
    <row r="74" spans="9:11" x14ac:dyDescent="0.25">
      <c r="I74"/>
    </row>
    <row r="86" ht="15.75" customHeight="1" x14ac:dyDescent="0.25"/>
  </sheetData>
  <mergeCells count="32">
    <mergeCell ref="C49:E49"/>
    <mergeCell ref="C8:L8"/>
    <mergeCell ref="C6:L6"/>
    <mergeCell ref="C4:L4"/>
    <mergeCell ref="C11:L11"/>
    <mergeCell ref="C9:L9"/>
    <mergeCell ref="C7:L7"/>
    <mergeCell ref="C5:L5"/>
    <mergeCell ref="C10:L10"/>
    <mergeCell ref="I29:K29"/>
    <mergeCell ref="I30:K30"/>
    <mergeCell ref="I31:K31"/>
    <mergeCell ref="I41:K41"/>
    <mergeCell ref="I40:K40"/>
    <mergeCell ref="C29:E29"/>
    <mergeCell ref="I37:K37"/>
    <mergeCell ref="B32:B33"/>
    <mergeCell ref="C33:E33"/>
    <mergeCell ref="C30:E30"/>
    <mergeCell ref="C31:E31"/>
    <mergeCell ref="C48:E48"/>
    <mergeCell ref="C47:E47"/>
    <mergeCell ref="C46:E46"/>
    <mergeCell ref="C45:E45"/>
    <mergeCell ref="C39:E39"/>
    <mergeCell ref="C40:E40"/>
    <mergeCell ref="I38:K38"/>
    <mergeCell ref="C37:E37"/>
    <mergeCell ref="C38:E38"/>
    <mergeCell ref="C41:E41"/>
    <mergeCell ref="C32:E32"/>
    <mergeCell ref="I39:K39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2"/>
  <dimension ref="A1:L80"/>
  <sheetViews>
    <sheetView workbookViewId="0">
      <selection activeCell="A8" sqref="A3:A8"/>
    </sheetView>
  </sheetViews>
  <sheetFormatPr defaultRowHeight="15.75" x14ac:dyDescent="0.25"/>
  <cols>
    <col min="1" max="1" width="17.125" bestFit="1" customWidth="1"/>
    <col min="2" max="2" width="16.5" bestFit="1" customWidth="1"/>
    <col min="3" max="3" width="20.75" bestFit="1" customWidth="1"/>
    <col min="4" max="4" width="11.5" bestFit="1" customWidth="1"/>
    <col min="5" max="5" width="11.625" customWidth="1"/>
    <col min="6" max="6" width="11.125" bestFit="1" customWidth="1"/>
    <col min="7" max="7" width="9.5" bestFit="1" customWidth="1"/>
    <col min="8" max="9" width="11.25" bestFit="1" customWidth="1"/>
    <col min="10" max="10" width="9.75" bestFit="1" customWidth="1"/>
    <col min="11" max="11" width="11.625" bestFit="1" customWidth="1"/>
    <col min="12" max="12" width="11" bestFit="1" customWidth="1"/>
  </cols>
  <sheetData>
    <row r="1" spans="1:12" ht="31.5" x14ac:dyDescent="0.25">
      <c r="A1" s="250" t="s">
        <v>237</v>
      </c>
      <c r="B1" s="143"/>
      <c r="C1" s="250" t="s">
        <v>54</v>
      </c>
      <c r="D1" s="250" t="s">
        <v>3</v>
      </c>
      <c r="E1" s="251" t="s">
        <v>227</v>
      </c>
      <c r="F1" s="251" t="s">
        <v>226</v>
      </c>
      <c r="G1" s="250" t="s">
        <v>5</v>
      </c>
      <c r="H1" s="251" t="s">
        <v>225</v>
      </c>
      <c r="I1" s="251" t="s">
        <v>228</v>
      </c>
      <c r="J1" s="251" t="s">
        <v>229</v>
      </c>
      <c r="K1" s="251" t="s">
        <v>230</v>
      </c>
      <c r="L1" s="251" t="s">
        <v>250</v>
      </c>
    </row>
    <row r="2" spans="1:12" x14ac:dyDescent="0.25">
      <c r="A2" s="254"/>
      <c r="B2" s="255"/>
      <c r="C2" s="250"/>
      <c r="D2" s="250"/>
      <c r="E2" s="250" t="s">
        <v>6</v>
      </c>
      <c r="F2" s="250" t="s">
        <v>6</v>
      </c>
      <c r="G2" s="250" t="s">
        <v>7</v>
      </c>
      <c r="H2" s="250" t="s">
        <v>6</v>
      </c>
      <c r="I2" s="250" t="s">
        <v>6</v>
      </c>
      <c r="J2" s="250" t="s">
        <v>9</v>
      </c>
      <c r="K2" s="250" t="s">
        <v>9</v>
      </c>
      <c r="L2" s="276" t="s">
        <v>251</v>
      </c>
    </row>
    <row r="3" spans="1:12" x14ac:dyDescent="0.25">
      <c r="A3" s="254" t="s">
        <v>231</v>
      </c>
      <c r="B3" s="255"/>
      <c r="C3" s="250">
        <v>8</v>
      </c>
      <c r="D3" s="252"/>
      <c r="E3" s="253">
        <v>26.6</v>
      </c>
      <c r="F3" s="253">
        <v>5.7</v>
      </c>
      <c r="G3" s="250"/>
      <c r="H3" s="250">
        <v>0.12</v>
      </c>
      <c r="I3" s="250"/>
      <c r="J3" s="250">
        <v>25.2</v>
      </c>
      <c r="K3" s="250">
        <v>5.3</v>
      </c>
      <c r="L3" s="275" t="e">
        <f>120/('1-Ore funzionamento'!$Y$103)</f>
        <v>#DIV/0!</v>
      </c>
    </row>
    <row r="4" spans="1:12" x14ac:dyDescent="0.25">
      <c r="A4" s="254" t="s">
        <v>232</v>
      </c>
      <c r="B4" s="255"/>
      <c r="C4" s="250">
        <v>10</v>
      </c>
      <c r="D4" s="252"/>
      <c r="E4" s="253">
        <v>36.4</v>
      </c>
      <c r="F4" s="253">
        <v>11.1</v>
      </c>
      <c r="G4" s="250"/>
      <c r="H4" s="250">
        <v>0.14000000000000001</v>
      </c>
      <c r="I4" s="250"/>
      <c r="J4" s="250">
        <v>34.799999999999997</v>
      </c>
      <c r="K4" s="250">
        <v>10.4</v>
      </c>
      <c r="L4" s="275" t="e">
        <f>200/('1-Ore funzionamento'!$Y$103)</f>
        <v>#DIV/0!</v>
      </c>
    </row>
    <row r="5" spans="1:12" x14ac:dyDescent="0.25">
      <c r="A5" s="254" t="s">
        <v>252</v>
      </c>
      <c r="B5" s="255"/>
      <c r="C5" s="250">
        <v>13</v>
      </c>
      <c r="D5" s="252"/>
      <c r="E5" s="253">
        <v>45.6</v>
      </c>
      <c r="F5" s="253">
        <v>8.9</v>
      </c>
      <c r="G5" s="250"/>
      <c r="H5" s="250">
        <v>0.16</v>
      </c>
      <c r="I5" s="250"/>
      <c r="J5" s="250">
        <v>43.2</v>
      </c>
      <c r="K5" s="250">
        <v>8.3000000000000007</v>
      </c>
      <c r="L5" s="275" t="e">
        <f>200/('1-Ore funzionamento'!$Y$103)</f>
        <v>#DIV/0!</v>
      </c>
    </row>
    <row r="6" spans="1:12" x14ac:dyDescent="0.25">
      <c r="A6" s="254" t="s">
        <v>234</v>
      </c>
      <c r="B6" s="255"/>
      <c r="C6" s="250">
        <v>16</v>
      </c>
      <c r="D6" s="252"/>
      <c r="E6" s="253">
        <v>53</v>
      </c>
      <c r="F6" s="253">
        <v>12</v>
      </c>
      <c r="G6" s="250"/>
      <c r="H6" s="250">
        <v>0.19</v>
      </c>
      <c r="I6" s="250"/>
      <c r="J6" s="250">
        <v>49.8</v>
      </c>
      <c r="K6" s="250">
        <v>11.2</v>
      </c>
      <c r="L6" s="275" t="e">
        <f>200/('1-Ore funzionamento'!$Y$103)</f>
        <v>#DIV/0!</v>
      </c>
    </row>
    <row r="7" spans="1:12" x14ac:dyDescent="0.25">
      <c r="A7" s="254" t="s">
        <v>235</v>
      </c>
      <c r="B7" s="255"/>
      <c r="C7" s="250">
        <v>20</v>
      </c>
      <c r="D7" s="252"/>
      <c r="E7" s="253">
        <v>63</v>
      </c>
      <c r="F7" s="253">
        <v>16.8</v>
      </c>
      <c r="G7" s="250"/>
      <c r="H7" s="250">
        <v>0.26</v>
      </c>
      <c r="I7" s="250"/>
      <c r="J7" s="250">
        <v>60</v>
      </c>
      <c r="K7" s="250">
        <v>15.7</v>
      </c>
      <c r="L7" s="275" t="e">
        <f>200/('1-Ore funzionamento'!$Y$103)</f>
        <v>#DIV/0!</v>
      </c>
    </row>
    <row r="8" spans="1:12" x14ac:dyDescent="0.25">
      <c r="A8" s="254" t="s">
        <v>236</v>
      </c>
      <c r="B8" s="255"/>
      <c r="C8" s="250">
        <v>25</v>
      </c>
      <c r="D8" s="252"/>
      <c r="E8" s="253">
        <v>79.5</v>
      </c>
      <c r="F8" s="253">
        <v>18.3</v>
      </c>
      <c r="G8" s="250"/>
      <c r="H8" s="250">
        <v>0.28499999999999998</v>
      </c>
      <c r="I8" s="250"/>
      <c r="J8" s="250">
        <v>75</v>
      </c>
      <c r="K8" s="250">
        <v>17</v>
      </c>
      <c r="L8" s="275" t="e">
        <f>200/('1-Ore funzionamento'!$Y$103)</f>
        <v>#DIV/0!</v>
      </c>
    </row>
    <row r="9" spans="1:12" x14ac:dyDescent="0.25">
      <c r="A9" s="285" t="s">
        <v>287</v>
      </c>
      <c r="C9" s="283">
        <v>0</v>
      </c>
      <c r="E9" s="284"/>
    </row>
    <row r="10" spans="1:12" x14ac:dyDescent="0.25">
      <c r="A10" s="1206" t="s">
        <v>223</v>
      </c>
      <c r="B10" s="1207"/>
    </row>
    <row r="11" spans="1:12" x14ac:dyDescent="0.25">
      <c r="A11" s="1206" t="s">
        <v>224</v>
      </c>
      <c r="B11" s="1207"/>
    </row>
    <row r="12" spans="1:12" x14ac:dyDescent="0.25">
      <c r="A12" s="1206" t="s">
        <v>253</v>
      </c>
      <c r="B12" s="1207"/>
    </row>
    <row r="13" spans="1:12" x14ac:dyDescent="0.25">
      <c r="A13" s="1206" t="s">
        <v>222</v>
      </c>
      <c r="B13" s="1207"/>
    </row>
    <row r="14" spans="1:12" x14ac:dyDescent="0.25">
      <c r="A14" s="1206" t="s">
        <v>254</v>
      </c>
      <c r="B14" s="1207"/>
    </row>
    <row r="15" spans="1:12" x14ac:dyDescent="0.25">
      <c r="A15" s="1206" t="s">
        <v>249</v>
      </c>
      <c r="B15" s="1207"/>
    </row>
    <row r="16" spans="1:12" ht="16.5" thickBot="1" x14ac:dyDescent="0.3">
      <c r="A16" s="143"/>
      <c r="B16" s="143"/>
      <c r="F16" t="s">
        <v>241</v>
      </c>
      <c r="G16" t="s">
        <v>242</v>
      </c>
      <c r="H16" t="s">
        <v>243</v>
      </c>
      <c r="I16" t="s">
        <v>244</v>
      </c>
      <c r="J16" t="s">
        <v>245</v>
      </c>
      <c r="K16" t="s">
        <v>246</v>
      </c>
    </row>
    <row r="17" spans="1:11" x14ac:dyDescent="0.25">
      <c r="A17" s="281" t="s">
        <v>215</v>
      </c>
      <c r="B17" s="282" t="s">
        <v>217</v>
      </c>
      <c r="C17" s="225" t="s">
        <v>240</v>
      </c>
      <c r="D17" s="226" t="s">
        <v>79</v>
      </c>
      <c r="E17" s="226" t="s">
        <v>68</v>
      </c>
      <c r="F17" s="1202" t="s">
        <v>219</v>
      </c>
      <c r="G17" s="1203"/>
      <c r="H17" s="1203"/>
      <c r="I17" s="1203"/>
      <c r="J17" s="1203"/>
      <c r="K17" s="1205"/>
    </row>
    <row r="18" spans="1:11" ht="16.5" thickBot="1" x14ac:dyDescent="0.3">
      <c r="A18" s="269"/>
      <c r="B18" s="270"/>
      <c r="C18" s="270"/>
      <c r="D18" s="270"/>
      <c r="E18" s="270"/>
      <c r="F18" s="271">
        <v>-10</v>
      </c>
      <c r="G18" s="271">
        <v>-3.7</v>
      </c>
      <c r="H18" s="271">
        <v>2.2000000000000002</v>
      </c>
      <c r="I18" s="271">
        <v>7.9</v>
      </c>
      <c r="J18" s="271">
        <v>11.8</v>
      </c>
      <c r="K18" s="272">
        <v>13.7</v>
      </c>
    </row>
    <row r="19" spans="1:11" x14ac:dyDescent="0.25">
      <c r="A19" s="256" t="s">
        <v>231</v>
      </c>
      <c r="B19" s="230">
        <v>1</v>
      </c>
      <c r="C19" s="230">
        <f>'1-Ore funzionamento'!AF7</f>
        <v>4.2105263157894743E-2</v>
      </c>
      <c r="D19" s="218"/>
      <c r="E19" s="261">
        <f>IF($B$73&lt;=$F$18,F19,IF(AND($B$73&gt;=$F$18,$B$73&lt;=$G$18),F19+(G19-F19)*($B$73-$F$18)/($G$18-$F$18),IF(AND($B$73&gt;=$G$18,$B$73&lt;=$H$18),G19+(H19-G19)*($B$73-$G$18)/($H$18-$G$18),IF(AND($B$73&gt;=$H$18,$B$73&lt;=$I$18),H19+(I19-H19)*($B$73-$H$18)/($I$18-$H$18),IF(AND($B$73&gt;=$I$18,$B$73&lt;=$J$18),I19+(J19-I19)*($B$73-$I$18)/($J$18-$I$18),IF(AND($B$73&gt;=$J$18,$B$73&lt;=$K$18),J19+(K19-J19)*($B$73-$J$18)/($K$18-$J$18),K19))))))</f>
        <v>6.4916949152542376</v>
      </c>
      <c r="F19" s="226">
        <v>6.37</v>
      </c>
      <c r="G19" s="226">
        <v>6.73</v>
      </c>
      <c r="H19" s="226">
        <v>6.35</v>
      </c>
      <c r="I19" s="226">
        <v>5.86</v>
      </c>
      <c r="J19" s="226">
        <v>5.24</v>
      </c>
      <c r="K19" s="231">
        <v>5.07</v>
      </c>
    </row>
    <row r="20" spans="1:11" x14ac:dyDescent="0.25">
      <c r="A20" s="257" t="s">
        <v>232</v>
      </c>
      <c r="B20" s="222">
        <v>1</v>
      </c>
      <c r="C20" s="222">
        <f>C19</f>
        <v>4.2105263157894743E-2</v>
      </c>
      <c r="D20" s="217"/>
      <c r="E20" s="267">
        <f>IF($B$73&lt;=$F$18,F20,IF(AND($B$73&gt;=$F$18,$B$73&lt;=$G$18),F20+(G20-F20)*($B$73-$F$18)/($G$18-$F$18),IF(AND($B$73&gt;=$G$18,$B$73&lt;=$H$18),G20+(H20-G20)*($B$73-$G$18)/($H$18-$G$18),IF(AND($B$73&gt;=$H$18,$B$73&lt;=$I$18),H20+(I20-H20)*($B$73-$H$18)/($I$18-$H$18),IF(AND($B$73&gt;=$I$18,$B$73&lt;=$J$18),I20+(J20-I20)*($B$73-$I$18)/($J$18-$I$18),IF(AND($B$73&gt;=$J$18,$B$73&lt;=$K$18),J20+(K20-J20)*($B$73-$J$18)/($K$18-$J$18),K20))))))</f>
        <v>8.849152542372881</v>
      </c>
      <c r="F20" s="221">
        <v>8.52</v>
      </c>
      <c r="G20" s="221">
        <v>9.1</v>
      </c>
      <c r="H20" s="221">
        <v>8.6999999999999993</v>
      </c>
      <c r="I20" s="221">
        <v>7.25</v>
      </c>
      <c r="J20" s="221">
        <v>6.44</v>
      </c>
      <c r="K20" s="233">
        <v>6.08</v>
      </c>
    </row>
    <row r="21" spans="1:11" x14ac:dyDescent="0.25">
      <c r="A21" s="257" t="s">
        <v>233</v>
      </c>
      <c r="B21" s="222">
        <v>1</v>
      </c>
      <c r="C21" s="222">
        <f>C20</f>
        <v>4.2105263157894743E-2</v>
      </c>
      <c r="D21" s="217"/>
      <c r="E21" s="267">
        <f t="shared" ref="E21:E66" si="0">IF($B$73&lt;=$F$18,F21,IF(AND($B$73&gt;=$F$18,$B$73&lt;=$G$18),F21+(G21-F21)*($B$73-$F$18)/($G$18-$F$18),IF(AND($B$73&gt;=$G$18,$B$73&lt;=$H$18),G21+(H21-G21)*($B$73-$G$18)/($H$18-$G$18),IF(AND($B$73&gt;=$H$18,$B$73&lt;=$I$18),H21+(I21-H21)*($B$73-$H$18)/($I$18-$H$18),IF(AND($B$73&gt;=$I$18,$B$73&lt;=$J$18),I21+(J21-I21)*($B$73-$I$18)/($J$18-$I$18),IF(AND($B$73&gt;=$J$18,$B$73&lt;=$K$18),J21+(K21-J21)*($B$73-$J$18)/($K$18-$J$18),K21))))))</f>
        <v>8.8937288135593207</v>
      </c>
      <c r="F21" s="223">
        <v>7.84</v>
      </c>
      <c r="G21" s="223">
        <v>8.5299999999999994</v>
      </c>
      <c r="H21" s="223">
        <v>9.11</v>
      </c>
      <c r="I21" s="223">
        <v>8.89</v>
      </c>
      <c r="J21" s="223">
        <v>7.88</v>
      </c>
      <c r="K21" s="234">
        <v>7.44</v>
      </c>
    </row>
    <row r="22" spans="1:11" x14ac:dyDescent="0.25">
      <c r="A22" s="257" t="s">
        <v>234</v>
      </c>
      <c r="B22" s="222">
        <v>1</v>
      </c>
      <c r="C22" s="222">
        <f>C21</f>
        <v>4.2105263157894743E-2</v>
      </c>
      <c r="D22" s="217"/>
      <c r="E22" s="267">
        <f t="shared" si="0"/>
        <v>14.276271186440677</v>
      </c>
      <c r="F22" s="223">
        <v>13</v>
      </c>
      <c r="G22" s="223">
        <v>13.9</v>
      </c>
      <c r="H22" s="223">
        <v>14.5</v>
      </c>
      <c r="I22" s="223">
        <v>12.2</v>
      </c>
      <c r="J22" s="223">
        <v>10.8</v>
      </c>
      <c r="K22" s="234">
        <v>10.199999999999999</v>
      </c>
    </row>
    <row r="23" spans="1:11" x14ac:dyDescent="0.25">
      <c r="A23" s="257" t="s">
        <v>235</v>
      </c>
      <c r="B23" s="222">
        <v>1</v>
      </c>
      <c r="C23" s="222">
        <f>C22</f>
        <v>4.2105263157894743E-2</v>
      </c>
      <c r="D23" s="217"/>
      <c r="E23" s="267">
        <f t="shared" si="0"/>
        <v>15.801694915254238</v>
      </c>
      <c r="F23" s="223">
        <v>14.2</v>
      </c>
      <c r="G23" s="223">
        <v>15.3</v>
      </c>
      <c r="H23" s="223">
        <v>16.100000000000001</v>
      </c>
      <c r="I23" s="223">
        <v>14.5</v>
      </c>
      <c r="J23" s="223">
        <v>13.1</v>
      </c>
      <c r="K23" s="234">
        <v>12.5</v>
      </c>
    </row>
    <row r="24" spans="1:11" ht="16.5" thickBot="1" x14ac:dyDescent="0.3">
      <c r="A24" s="258" t="s">
        <v>236</v>
      </c>
      <c r="B24" s="236">
        <v>1</v>
      </c>
      <c r="C24" s="236">
        <f>C23</f>
        <v>4.2105263157894743E-2</v>
      </c>
      <c r="D24" s="219"/>
      <c r="E24" s="268">
        <f t="shared" si="0"/>
        <v>21.489830508474576</v>
      </c>
      <c r="F24" s="237">
        <v>19.399999999999999</v>
      </c>
      <c r="G24" s="237">
        <v>20.8</v>
      </c>
      <c r="H24" s="237">
        <v>21.9</v>
      </c>
      <c r="I24" s="237">
        <v>20.100000000000001</v>
      </c>
      <c r="J24" s="237">
        <v>18.100000000000001</v>
      </c>
      <c r="K24" s="238">
        <v>17.3</v>
      </c>
    </row>
    <row r="25" spans="1:11" x14ac:dyDescent="0.25">
      <c r="A25" s="256" t="s">
        <v>231</v>
      </c>
      <c r="B25" s="230">
        <v>0.9</v>
      </c>
      <c r="C25" s="230">
        <f>'1-Ore funzionamento'!AF8</f>
        <v>9.4736842105263161E-2</v>
      </c>
      <c r="D25" s="218"/>
      <c r="E25" s="261">
        <f t="shared" si="0"/>
        <v>5.9057627118644067</v>
      </c>
      <c r="F25" s="226">
        <v>6.63</v>
      </c>
      <c r="G25" s="226">
        <v>6.42</v>
      </c>
      <c r="H25" s="226">
        <v>5.6</v>
      </c>
      <c r="I25" s="226">
        <v>4.99</v>
      </c>
      <c r="J25" s="226">
        <v>4.6500000000000004</v>
      </c>
      <c r="K25" s="231">
        <v>4.5</v>
      </c>
    </row>
    <row r="26" spans="1:11" x14ac:dyDescent="0.25">
      <c r="A26" s="257" t="s">
        <v>232</v>
      </c>
      <c r="B26" s="222">
        <v>0.9</v>
      </c>
      <c r="C26" s="222">
        <f>C25</f>
        <v>9.4736842105263161E-2</v>
      </c>
      <c r="D26" s="217"/>
      <c r="E26" s="267">
        <f t="shared" si="0"/>
        <v>8.2603389830508469</v>
      </c>
      <c r="F26" s="221">
        <v>8.89</v>
      </c>
      <c r="G26" s="221">
        <v>9.27</v>
      </c>
      <c r="H26" s="221">
        <v>7.66</v>
      </c>
      <c r="I26" s="221">
        <v>6.41</v>
      </c>
      <c r="J26" s="221">
        <v>5.71</v>
      </c>
      <c r="K26" s="233">
        <v>5.41</v>
      </c>
    </row>
    <row r="27" spans="1:11" x14ac:dyDescent="0.25">
      <c r="A27" s="257" t="s">
        <v>233</v>
      </c>
      <c r="B27" s="222">
        <v>0.9</v>
      </c>
      <c r="C27" s="222">
        <f>C26</f>
        <v>9.4736842105263161E-2</v>
      </c>
      <c r="D27" s="217"/>
      <c r="E27" s="267">
        <f t="shared" si="0"/>
        <v>9.221016949152542</v>
      </c>
      <c r="F27" s="223">
        <v>8.3000000000000007</v>
      </c>
      <c r="G27" s="223">
        <v>8.92</v>
      </c>
      <c r="H27" s="223">
        <v>9.4</v>
      </c>
      <c r="I27" s="223">
        <v>7.86</v>
      </c>
      <c r="J27" s="223">
        <v>6.99</v>
      </c>
      <c r="K27" s="234">
        <v>6.61</v>
      </c>
    </row>
    <row r="28" spans="1:11" x14ac:dyDescent="0.25">
      <c r="A28" s="257" t="s">
        <v>234</v>
      </c>
      <c r="B28" s="222">
        <v>0.9</v>
      </c>
      <c r="C28" s="222">
        <f>C27</f>
        <v>9.4736842105263161E-2</v>
      </c>
      <c r="D28" s="217"/>
      <c r="E28" s="267">
        <f t="shared" si="0"/>
        <v>13.396610169491526</v>
      </c>
      <c r="F28" s="223">
        <v>13.6</v>
      </c>
      <c r="G28" s="223">
        <v>14.4</v>
      </c>
      <c r="H28" s="223">
        <v>12.8</v>
      </c>
      <c r="I28" s="223">
        <v>10.8</v>
      </c>
      <c r="J28" s="223">
        <v>9.6</v>
      </c>
      <c r="K28" s="234">
        <v>9.1</v>
      </c>
    </row>
    <row r="29" spans="1:11" x14ac:dyDescent="0.25">
      <c r="A29" s="257" t="s">
        <v>235</v>
      </c>
      <c r="B29" s="222">
        <v>0.9</v>
      </c>
      <c r="C29" s="222">
        <f>C28</f>
        <v>9.4736842105263161E-2</v>
      </c>
      <c r="D29" s="217"/>
      <c r="E29" s="267">
        <f t="shared" si="0"/>
        <v>15.335593220338984</v>
      </c>
      <c r="F29" s="223">
        <v>15</v>
      </c>
      <c r="G29" s="223">
        <v>15.9</v>
      </c>
      <c r="H29" s="223">
        <v>15</v>
      </c>
      <c r="I29" s="223">
        <v>12.9</v>
      </c>
      <c r="J29" s="223">
        <v>11.6</v>
      </c>
      <c r="K29" s="234">
        <v>11.1</v>
      </c>
    </row>
    <row r="30" spans="1:11" ht="16.5" thickBot="1" x14ac:dyDescent="0.3">
      <c r="A30" s="258" t="s">
        <v>236</v>
      </c>
      <c r="B30" s="236">
        <v>0.9</v>
      </c>
      <c r="C30" s="236">
        <f>C29</f>
        <v>9.4736842105263161E-2</v>
      </c>
      <c r="D30" s="219"/>
      <c r="E30" s="268">
        <f t="shared" si="0"/>
        <v>21.098305084745764</v>
      </c>
      <c r="F30" s="237">
        <v>20.399999999999999</v>
      </c>
      <c r="G30" s="237">
        <v>21.6</v>
      </c>
      <c r="H30" s="237">
        <v>20.8</v>
      </c>
      <c r="I30" s="237">
        <v>17.8</v>
      </c>
      <c r="J30" s="237">
        <v>16.100000000000001</v>
      </c>
      <c r="K30" s="238">
        <v>15.3</v>
      </c>
    </row>
    <row r="31" spans="1:11" x14ac:dyDescent="0.25">
      <c r="A31" s="256" t="s">
        <v>231</v>
      </c>
      <c r="B31" s="230">
        <v>0.8</v>
      </c>
      <c r="C31" s="230">
        <f>'1-Ore funzionamento'!AF9</f>
        <v>0.15789473684210525</v>
      </c>
      <c r="D31" s="218"/>
      <c r="E31" s="261">
        <f t="shared" si="0"/>
        <v>5.1372881355932201</v>
      </c>
      <c r="F31" s="226">
        <v>6.59</v>
      </c>
      <c r="G31" s="226">
        <v>5.57</v>
      </c>
      <c r="H31" s="226">
        <v>4.88</v>
      </c>
      <c r="I31" s="226">
        <v>4.3600000000000003</v>
      </c>
      <c r="J31" s="226">
        <v>4.07</v>
      </c>
      <c r="K31" s="231">
        <v>3.95</v>
      </c>
    </row>
    <row r="32" spans="1:11" x14ac:dyDescent="0.25">
      <c r="A32" s="257" t="s">
        <v>232</v>
      </c>
      <c r="B32" s="222">
        <v>0.8</v>
      </c>
      <c r="C32" s="222">
        <f>C31</f>
        <v>0.15789473684210525</v>
      </c>
      <c r="D32" s="217"/>
      <c r="E32" s="267">
        <f t="shared" si="0"/>
        <v>7.1733898305084747</v>
      </c>
      <c r="F32" s="221">
        <v>9.26</v>
      </c>
      <c r="G32" s="221">
        <v>8.02</v>
      </c>
      <c r="H32" s="221">
        <v>6.67</v>
      </c>
      <c r="I32" s="221">
        <v>5.61</v>
      </c>
      <c r="J32" s="221">
        <v>5.0199999999999996</v>
      </c>
      <c r="K32" s="233">
        <v>4.76</v>
      </c>
    </row>
    <row r="33" spans="1:11" x14ac:dyDescent="0.25">
      <c r="A33" s="257" t="s">
        <v>233</v>
      </c>
      <c r="B33" s="222">
        <v>0.8</v>
      </c>
      <c r="C33" s="222">
        <f>C32</f>
        <v>0.15789473684210525</v>
      </c>
      <c r="D33" s="217"/>
      <c r="E33" s="267">
        <f t="shared" si="0"/>
        <v>8.6076271186440678</v>
      </c>
      <c r="F33" s="223">
        <v>8.76</v>
      </c>
      <c r="G33" s="223">
        <v>9.31</v>
      </c>
      <c r="H33" s="223">
        <v>8.19</v>
      </c>
      <c r="I33" s="223">
        <v>6.88</v>
      </c>
      <c r="J33" s="223">
        <v>6.14</v>
      </c>
      <c r="K33" s="234">
        <v>5.82</v>
      </c>
    </row>
    <row r="34" spans="1:11" x14ac:dyDescent="0.25">
      <c r="A34" s="257" t="s">
        <v>234</v>
      </c>
      <c r="B34" s="222">
        <v>0.8</v>
      </c>
      <c r="C34" s="222">
        <f>C33</f>
        <v>0.15789473684210525</v>
      </c>
      <c r="D34" s="217"/>
      <c r="E34" s="267">
        <f t="shared" si="0"/>
        <v>12.020338983050847</v>
      </c>
      <c r="F34" s="223">
        <v>14.2</v>
      </c>
      <c r="G34" s="223">
        <v>13.4</v>
      </c>
      <c r="H34" s="223">
        <v>11.2</v>
      </c>
      <c r="I34" s="223">
        <v>9.42</v>
      </c>
      <c r="J34" s="223">
        <v>8.43</v>
      </c>
      <c r="K34" s="234">
        <v>8</v>
      </c>
    </row>
    <row r="35" spans="1:11" x14ac:dyDescent="0.25">
      <c r="A35" s="257" t="s">
        <v>235</v>
      </c>
      <c r="B35" s="222">
        <v>0.8</v>
      </c>
      <c r="C35" s="222">
        <f>C34</f>
        <v>0.15789473684210525</v>
      </c>
      <c r="D35" s="217"/>
      <c r="E35" s="267">
        <f t="shared" si="0"/>
        <v>13.894915254237288</v>
      </c>
      <c r="F35" s="223">
        <v>15.7</v>
      </c>
      <c r="G35" s="223">
        <v>15.4</v>
      </c>
      <c r="H35" s="223">
        <v>13</v>
      </c>
      <c r="I35" s="223">
        <v>11.2</v>
      </c>
      <c r="J35" s="223">
        <v>10.199999999999999</v>
      </c>
      <c r="K35" s="234">
        <v>9.8000000000000007</v>
      </c>
    </row>
    <row r="36" spans="1:11" ht="16.5" thickBot="1" x14ac:dyDescent="0.3">
      <c r="A36" s="258" t="s">
        <v>236</v>
      </c>
      <c r="B36" s="236">
        <v>0.8</v>
      </c>
      <c r="C36" s="236">
        <f>C35</f>
        <v>0.15789473684210525</v>
      </c>
      <c r="D36" s="219"/>
      <c r="E36" s="268">
        <f t="shared" si="0"/>
        <v>19.33050847457627</v>
      </c>
      <c r="F36" s="237">
        <v>21.4</v>
      </c>
      <c r="G36" s="237">
        <v>21.4</v>
      </c>
      <c r="H36" s="237">
        <v>18.100000000000001</v>
      </c>
      <c r="I36" s="237">
        <v>15.6</v>
      </c>
      <c r="J36" s="237">
        <v>14.1</v>
      </c>
      <c r="K36" s="238">
        <v>13.5</v>
      </c>
    </row>
    <row r="37" spans="1:11" x14ac:dyDescent="0.25">
      <c r="A37" s="256" t="s">
        <v>231</v>
      </c>
      <c r="B37" s="230">
        <v>0.7</v>
      </c>
      <c r="C37" s="230">
        <f>'1-Ore funzionamento'!AF10</f>
        <v>0.2</v>
      </c>
      <c r="D37" s="218"/>
      <c r="E37" s="261">
        <f t="shared" si="0"/>
        <v>4.4125423728813562</v>
      </c>
      <c r="F37" s="226">
        <v>5.61</v>
      </c>
      <c r="G37" s="226">
        <v>4.7699999999999996</v>
      </c>
      <c r="H37" s="226">
        <v>4.2</v>
      </c>
      <c r="I37" s="226">
        <v>3.77</v>
      </c>
      <c r="J37" s="226">
        <v>3.52</v>
      </c>
      <c r="K37" s="231">
        <v>3.42</v>
      </c>
    </row>
    <row r="38" spans="1:11" x14ac:dyDescent="0.25">
      <c r="A38" s="257" t="s">
        <v>232</v>
      </c>
      <c r="B38" s="222">
        <v>0.7</v>
      </c>
      <c r="C38" s="222">
        <f>C37</f>
        <v>0.2</v>
      </c>
      <c r="D38" s="217"/>
      <c r="E38" s="267">
        <f t="shared" si="0"/>
        <v>6.1476271186440679</v>
      </c>
      <c r="F38" s="221">
        <v>8.2799999999999994</v>
      </c>
      <c r="G38" s="221">
        <v>6.85</v>
      </c>
      <c r="H38" s="221">
        <v>5.73</v>
      </c>
      <c r="I38" s="221">
        <v>4.8499999999999996</v>
      </c>
      <c r="J38" s="221">
        <v>4.3499999999999996</v>
      </c>
      <c r="K38" s="233">
        <v>4.13</v>
      </c>
    </row>
    <row r="39" spans="1:11" x14ac:dyDescent="0.25">
      <c r="A39" s="257" t="s">
        <v>233</v>
      </c>
      <c r="B39" s="222">
        <v>0.7</v>
      </c>
      <c r="C39" s="222">
        <f>C38</f>
        <v>0.2</v>
      </c>
      <c r="D39" s="217"/>
      <c r="E39" s="267">
        <f t="shared" si="0"/>
        <v>7.5483050847457633</v>
      </c>
      <c r="F39" s="223">
        <v>9.2200000000000006</v>
      </c>
      <c r="G39" s="223">
        <v>8.42</v>
      </c>
      <c r="H39" s="223">
        <v>7.03</v>
      </c>
      <c r="I39" s="223">
        <v>5.94</v>
      </c>
      <c r="J39" s="223">
        <v>5.33</v>
      </c>
      <c r="K39" s="234">
        <v>5.0599999999999996</v>
      </c>
    </row>
    <row r="40" spans="1:11" x14ac:dyDescent="0.25">
      <c r="A40" s="257" t="s">
        <v>234</v>
      </c>
      <c r="B40" s="222">
        <v>0.7</v>
      </c>
      <c r="C40" s="222">
        <f>C39</f>
        <v>0.2</v>
      </c>
      <c r="D40" s="217"/>
      <c r="E40" s="267">
        <f t="shared" si="0"/>
        <v>10.25864406779661</v>
      </c>
      <c r="F40" s="223">
        <v>13.8</v>
      </c>
      <c r="G40" s="223">
        <v>11.4</v>
      </c>
      <c r="H40" s="223">
        <v>9.58</v>
      </c>
      <c r="I40" s="223">
        <v>8.1300000000000008</v>
      </c>
      <c r="J40" s="223">
        <v>7.31</v>
      </c>
      <c r="K40" s="234">
        <v>6.95</v>
      </c>
    </row>
    <row r="41" spans="1:11" x14ac:dyDescent="0.25">
      <c r="A41" s="257" t="s">
        <v>235</v>
      </c>
      <c r="B41" s="222">
        <v>0.7</v>
      </c>
      <c r="C41" s="222">
        <f>C40</f>
        <v>0.2</v>
      </c>
      <c r="D41" s="217"/>
      <c r="E41" s="267">
        <f t="shared" si="0"/>
        <v>11.908474576271185</v>
      </c>
      <c r="F41" s="223">
        <v>15.7</v>
      </c>
      <c r="G41" s="223">
        <v>13.1</v>
      </c>
      <c r="H41" s="223">
        <v>11.2</v>
      </c>
      <c r="I41" s="223">
        <v>9.7200000000000006</v>
      </c>
      <c r="J41" s="223">
        <v>8.86</v>
      </c>
      <c r="K41" s="234">
        <v>8.48</v>
      </c>
    </row>
    <row r="42" spans="1:11" ht="16.5" thickBot="1" x14ac:dyDescent="0.3">
      <c r="A42" s="258" t="s">
        <v>236</v>
      </c>
      <c r="B42" s="236">
        <v>0.7</v>
      </c>
      <c r="C42" s="236">
        <f>C41</f>
        <v>0.2</v>
      </c>
      <c r="D42" s="219"/>
      <c r="E42" s="268">
        <f t="shared" si="0"/>
        <v>16.606779661016951</v>
      </c>
      <c r="F42" s="237">
        <v>21.9</v>
      </c>
      <c r="G42" s="237">
        <v>18.3</v>
      </c>
      <c r="H42" s="237">
        <v>15.6</v>
      </c>
      <c r="I42" s="237">
        <v>13.4</v>
      </c>
      <c r="J42" s="237">
        <v>12.2</v>
      </c>
      <c r="K42" s="238">
        <v>11.7</v>
      </c>
    </row>
    <row r="43" spans="1:11" x14ac:dyDescent="0.25">
      <c r="A43" s="256" t="s">
        <v>231</v>
      </c>
      <c r="B43" s="230">
        <v>0.6</v>
      </c>
      <c r="C43" s="230">
        <f>'1-Ore funzionamento'!AF11</f>
        <v>0.22105263157894736</v>
      </c>
      <c r="D43" s="218"/>
      <c r="E43" s="261">
        <f t="shared" si="0"/>
        <v>3.7215254237288136</v>
      </c>
      <c r="F43" s="226">
        <v>4.6900000000000004</v>
      </c>
      <c r="G43" s="226">
        <v>4.01</v>
      </c>
      <c r="H43" s="226">
        <v>3.55</v>
      </c>
      <c r="I43" s="226">
        <v>3.2</v>
      </c>
      <c r="J43" s="226">
        <v>3</v>
      </c>
      <c r="K43" s="231">
        <v>2.92</v>
      </c>
    </row>
    <row r="44" spans="1:11" x14ac:dyDescent="0.25">
      <c r="A44" s="257" t="s">
        <v>232</v>
      </c>
      <c r="B44" s="222">
        <v>0.6</v>
      </c>
      <c r="C44" s="222">
        <f>C43</f>
        <v>0.22105263157894736</v>
      </c>
      <c r="D44" s="217"/>
      <c r="E44" s="267">
        <f t="shared" si="0"/>
        <v>5.1755932203389827</v>
      </c>
      <c r="F44" s="221">
        <v>6.89</v>
      </c>
      <c r="G44" s="221">
        <v>5.74</v>
      </c>
      <c r="H44" s="221">
        <v>4.84</v>
      </c>
      <c r="I44" s="221">
        <v>4.12</v>
      </c>
      <c r="J44" s="221">
        <v>3.72</v>
      </c>
      <c r="K44" s="233">
        <v>3.54</v>
      </c>
    </row>
    <row r="45" spans="1:11" x14ac:dyDescent="0.25">
      <c r="A45" s="257" t="s">
        <v>233</v>
      </c>
      <c r="B45" s="222">
        <v>0.6</v>
      </c>
      <c r="C45" s="222">
        <f>C44</f>
        <v>0.22105263157894736</v>
      </c>
      <c r="D45" s="217"/>
      <c r="E45" s="267">
        <f t="shared" si="0"/>
        <v>6.3576271186440678</v>
      </c>
      <c r="F45" s="223">
        <v>8.49</v>
      </c>
      <c r="G45" s="223">
        <v>7.06</v>
      </c>
      <c r="H45" s="223">
        <v>5.94</v>
      </c>
      <c r="I45" s="223">
        <v>5.05</v>
      </c>
      <c r="J45" s="223">
        <v>4.55</v>
      </c>
      <c r="K45" s="234">
        <v>4.33</v>
      </c>
    </row>
    <row r="46" spans="1:11" x14ac:dyDescent="0.25">
      <c r="A46" s="257" t="s">
        <v>234</v>
      </c>
      <c r="B46" s="222">
        <v>0.6</v>
      </c>
      <c r="C46" s="222">
        <f>C45</f>
        <v>0.22105263157894736</v>
      </c>
      <c r="D46" s="217"/>
      <c r="E46" s="267">
        <f t="shared" si="0"/>
        <v>8.6455932203389825</v>
      </c>
      <c r="F46" s="223">
        <v>11.5</v>
      </c>
      <c r="G46" s="223">
        <v>9.58</v>
      </c>
      <c r="H46" s="223">
        <v>8.09</v>
      </c>
      <c r="I46" s="223">
        <v>6.91</v>
      </c>
      <c r="J46" s="223">
        <v>6.24</v>
      </c>
      <c r="K46" s="234">
        <v>5.95</v>
      </c>
    </row>
    <row r="47" spans="1:11" x14ac:dyDescent="0.25">
      <c r="A47" s="257" t="s">
        <v>235</v>
      </c>
      <c r="B47" s="222">
        <v>0.6</v>
      </c>
      <c r="C47" s="222">
        <f>C46</f>
        <v>0.22105263157894736</v>
      </c>
      <c r="D47" s="217"/>
      <c r="E47" s="267">
        <f t="shared" si="0"/>
        <v>10.040508474576271</v>
      </c>
      <c r="F47" s="223">
        <v>13.1</v>
      </c>
      <c r="G47" s="223">
        <v>11</v>
      </c>
      <c r="H47" s="223">
        <v>9.4700000000000006</v>
      </c>
      <c r="I47" s="223">
        <v>8.26</v>
      </c>
      <c r="J47" s="223">
        <v>7.56</v>
      </c>
      <c r="K47" s="234">
        <v>7.25</v>
      </c>
    </row>
    <row r="48" spans="1:11" ht="16.5" thickBot="1" x14ac:dyDescent="0.3">
      <c r="A48" s="258" t="s">
        <v>236</v>
      </c>
      <c r="B48" s="236">
        <v>0.6</v>
      </c>
      <c r="C48" s="236">
        <f>C47</f>
        <v>0.22105263157894736</v>
      </c>
      <c r="D48" s="219"/>
      <c r="E48" s="268">
        <f t="shared" si="0"/>
        <v>14.020338983050847</v>
      </c>
      <c r="F48" s="237">
        <v>18.3</v>
      </c>
      <c r="G48" s="237">
        <v>15.4</v>
      </c>
      <c r="H48" s="237">
        <v>13.2</v>
      </c>
      <c r="I48" s="237">
        <v>11.4</v>
      </c>
      <c r="J48" s="237">
        <v>10.4</v>
      </c>
      <c r="K48" s="238">
        <v>10</v>
      </c>
    </row>
    <row r="49" spans="1:12" x14ac:dyDescent="0.25">
      <c r="A49" s="259" t="s">
        <v>231</v>
      </c>
      <c r="B49" s="262">
        <v>0.5</v>
      </c>
      <c r="C49" s="262">
        <f>'1-Ore funzionamento'!AF12</f>
        <v>0.2</v>
      </c>
      <c r="D49" s="263"/>
      <c r="E49" s="273">
        <f t="shared" si="0"/>
        <v>3.0742372881355933</v>
      </c>
      <c r="F49" s="264">
        <v>3.83</v>
      </c>
      <c r="G49" s="264">
        <v>3.3</v>
      </c>
      <c r="H49" s="264">
        <v>2.94</v>
      </c>
      <c r="I49" s="264">
        <v>2.66</v>
      </c>
      <c r="J49" s="264">
        <v>2.5099999999999998</v>
      </c>
      <c r="K49" s="265">
        <v>2.44</v>
      </c>
    </row>
    <row r="50" spans="1:12" x14ac:dyDescent="0.25">
      <c r="A50" s="257" t="s">
        <v>232</v>
      </c>
      <c r="B50" s="222">
        <v>0.5</v>
      </c>
      <c r="C50" s="222">
        <f>C49</f>
        <v>0.2</v>
      </c>
      <c r="D50" s="217"/>
      <c r="E50" s="267">
        <f t="shared" si="0"/>
        <v>4.254745762711865</v>
      </c>
      <c r="F50" s="221">
        <v>5.6</v>
      </c>
      <c r="G50" s="221">
        <v>4.7</v>
      </c>
      <c r="H50" s="221">
        <v>3.99</v>
      </c>
      <c r="I50" s="221">
        <v>3.43</v>
      </c>
      <c r="J50" s="221">
        <v>3.11</v>
      </c>
      <c r="K50" s="233">
        <v>2.97</v>
      </c>
    </row>
    <row r="51" spans="1:12" x14ac:dyDescent="0.25">
      <c r="A51" s="257" t="s">
        <v>233</v>
      </c>
      <c r="B51" s="222">
        <v>0.5</v>
      </c>
      <c r="C51" s="222">
        <f>C50</f>
        <v>0.2</v>
      </c>
      <c r="D51" s="217"/>
      <c r="E51" s="267">
        <f t="shared" si="0"/>
        <v>5.2281355932203395</v>
      </c>
      <c r="F51" s="223">
        <v>6.89</v>
      </c>
      <c r="G51" s="223">
        <v>5.78</v>
      </c>
      <c r="H51" s="223">
        <v>4.9000000000000004</v>
      </c>
      <c r="I51" s="223">
        <v>4.21</v>
      </c>
      <c r="J51" s="223">
        <v>3.81</v>
      </c>
      <c r="K51" s="234">
        <v>3.63</v>
      </c>
    </row>
    <row r="52" spans="1:12" x14ac:dyDescent="0.25">
      <c r="A52" s="257" t="s">
        <v>234</v>
      </c>
      <c r="B52" s="222">
        <v>0.5</v>
      </c>
      <c r="C52" s="222">
        <f>C51</f>
        <v>0.2</v>
      </c>
      <c r="D52" s="217"/>
      <c r="E52" s="267">
        <f t="shared" si="0"/>
        <v>7.1125423728813555</v>
      </c>
      <c r="F52" s="223">
        <v>9.33</v>
      </c>
      <c r="G52" s="223">
        <v>7.84</v>
      </c>
      <c r="H52" s="223">
        <v>6.68</v>
      </c>
      <c r="I52" s="223">
        <v>5.76</v>
      </c>
      <c r="J52" s="223">
        <v>5.23</v>
      </c>
      <c r="K52" s="234">
        <v>4.99</v>
      </c>
    </row>
    <row r="53" spans="1:12" x14ac:dyDescent="0.25">
      <c r="A53" s="257" t="s">
        <v>235</v>
      </c>
      <c r="B53" s="222">
        <v>0.5</v>
      </c>
      <c r="C53" s="222">
        <f>C52</f>
        <v>0.2</v>
      </c>
      <c r="D53" s="217"/>
      <c r="E53" s="267">
        <f t="shared" si="0"/>
        <v>8.2811864406779652</v>
      </c>
      <c r="F53" s="223">
        <v>10.6</v>
      </c>
      <c r="G53" s="223">
        <v>9.0399999999999991</v>
      </c>
      <c r="H53" s="223">
        <v>7.83</v>
      </c>
      <c r="I53" s="223">
        <v>6.87</v>
      </c>
      <c r="J53" s="223">
        <v>6.32</v>
      </c>
      <c r="K53" s="234">
        <v>6.08</v>
      </c>
    </row>
    <row r="54" spans="1:12" ht="16.5" thickBot="1" x14ac:dyDescent="0.3">
      <c r="A54" s="260" t="s">
        <v>236</v>
      </c>
      <c r="B54" s="240">
        <v>0.5</v>
      </c>
      <c r="C54" s="240">
        <f>C53</f>
        <v>0.2</v>
      </c>
      <c r="D54" s="220"/>
      <c r="E54" s="274">
        <f t="shared" si="0"/>
        <v>11.533898305084746</v>
      </c>
      <c r="F54" s="241">
        <v>14.9</v>
      </c>
      <c r="G54" s="241">
        <v>12.6</v>
      </c>
      <c r="H54" s="241">
        <v>10.9</v>
      </c>
      <c r="I54" s="241">
        <v>9.51</v>
      </c>
      <c r="J54" s="241">
        <v>8.7200000000000006</v>
      </c>
      <c r="K54" s="242">
        <v>8.3800000000000008</v>
      </c>
    </row>
    <row r="55" spans="1:12" x14ac:dyDescent="0.25">
      <c r="A55" s="256" t="s">
        <v>231</v>
      </c>
      <c r="B55" s="230">
        <v>0.4</v>
      </c>
      <c r="C55" s="230">
        <f>'1-Ore funzionamento'!AF13</f>
        <v>9.4736842105263161E-2</v>
      </c>
      <c r="D55" s="218"/>
      <c r="E55" s="261">
        <f t="shared" si="0"/>
        <v>2.766813559322034</v>
      </c>
      <c r="F55" s="226">
        <f t="shared" ref="F55:K58" si="1">F49-(F49*0.1)</f>
        <v>3.4470000000000001</v>
      </c>
      <c r="G55" s="226">
        <f t="shared" si="1"/>
        <v>2.9699999999999998</v>
      </c>
      <c r="H55" s="226">
        <f t="shared" si="1"/>
        <v>2.6459999999999999</v>
      </c>
      <c r="I55" s="226">
        <f t="shared" si="1"/>
        <v>2.3940000000000001</v>
      </c>
      <c r="J55" s="226">
        <f t="shared" si="1"/>
        <v>2.2589999999999999</v>
      </c>
      <c r="K55" s="231">
        <f t="shared" si="1"/>
        <v>2.1959999999999997</v>
      </c>
      <c r="L55" t="s">
        <v>247</v>
      </c>
    </row>
    <row r="56" spans="1:12" x14ac:dyDescent="0.25">
      <c r="A56" s="257" t="s">
        <v>232</v>
      </c>
      <c r="B56" s="222">
        <v>0.4</v>
      </c>
      <c r="C56" s="222">
        <f>C55</f>
        <v>9.4736842105263161E-2</v>
      </c>
      <c r="D56" s="217"/>
      <c r="E56" s="267">
        <f t="shared" si="0"/>
        <v>3.8292711864406783</v>
      </c>
      <c r="F56" s="221">
        <f t="shared" si="1"/>
        <v>5.04</v>
      </c>
      <c r="G56" s="221">
        <f t="shared" si="1"/>
        <v>4.2300000000000004</v>
      </c>
      <c r="H56" s="221">
        <f t="shared" si="1"/>
        <v>3.5910000000000002</v>
      </c>
      <c r="I56" s="221">
        <f t="shared" si="1"/>
        <v>3.0870000000000002</v>
      </c>
      <c r="J56" s="221">
        <f t="shared" si="1"/>
        <v>2.7989999999999999</v>
      </c>
      <c r="K56" s="233">
        <f t="shared" si="1"/>
        <v>2.673</v>
      </c>
      <c r="L56" t="s">
        <v>248</v>
      </c>
    </row>
    <row r="57" spans="1:12" x14ac:dyDescent="0.25">
      <c r="A57" s="257" t="s">
        <v>233</v>
      </c>
      <c r="B57" s="222">
        <v>0.4</v>
      </c>
      <c r="C57" s="222">
        <f>C56</f>
        <v>9.4736842105263161E-2</v>
      </c>
      <c r="D57" s="217"/>
      <c r="E57" s="267">
        <f t="shared" si="0"/>
        <v>4.7053220338983053</v>
      </c>
      <c r="F57" s="221">
        <f t="shared" si="1"/>
        <v>6.2009999999999996</v>
      </c>
      <c r="G57" s="221">
        <f t="shared" si="1"/>
        <v>5.202</v>
      </c>
      <c r="H57" s="221">
        <f t="shared" si="1"/>
        <v>4.41</v>
      </c>
      <c r="I57" s="221">
        <f t="shared" si="1"/>
        <v>3.7889999999999997</v>
      </c>
      <c r="J57" s="221">
        <f t="shared" si="1"/>
        <v>3.4290000000000003</v>
      </c>
      <c r="K57" s="233">
        <f t="shared" si="1"/>
        <v>3.2669999999999999</v>
      </c>
    </row>
    <row r="58" spans="1:12" x14ac:dyDescent="0.25">
      <c r="A58" s="257" t="s">
        <v>234</v>
      </c>
      <c r="B58" s="222">
        <v>0.4</v>
      </c>
      <c r="C58" s="222">
        <f>C57</f>
        <v>9.4736842105263161E-2</v>
      </c>
      <c r="D58" s="217"/>
      <c r="E58" s="267">
        <f t="shared" si="0"/>
        <v>6.4012881355932203</v>
      </c>
      <c r="F58" s="221">
        <f t="shared" si="1"/>
        <v>8.3970000000000002</v>
      </c>
      <c r="G58" s="221">
        <f t="shared" si="1"/>
        <v>7.056</v>
      </c>
      <c r="H58" s="221">
        <f t="shared" si="1"/>
        <v>6.0119999999999996</v>
      </c>
      <c r="I58" s="221">
        <f t="shared" si="1"/>
        <v>5.1840000000000002</v>
      </c>
      <c r="J58" s="221">
        <f t="shared" si="1"/>
        <v>4.7070000000000007</v>
      </c>
      <c r="K58" s="233">
        <f t="shared" si="1"/>
        <v>4.4910000000000005</v>
      </c>
    </row>
    <row r="59" spans="1:12" x14ac:dyDescent="0.25">
      <c r="A59" s="257" t="s">
        <v>235</v>
      </c>
      <c r="B59" s="222">
        <v>0.4</v>
      </c>
      <c r="C59" s="222">
        <f>C58</f>
        <v>9.4736842105263161E-2</v>
      </c>
      <c r="D59" s="217"/>
      <c r="E59" s="267">
        <f t="shared" si="0"/>
        <v>7.4530677966101688</v>
      </c>
      <c r="F59" s="221">
        <f t="shared" ref="F59:K59" si="2">F53-(F53*0.1)</f>
        <v>9.5399999999999991</v>
      </c>
      <c r="G59" s="221">
        <f t="shared" si="2"/>
        <v>8.1359999999999992</v>
      </c>
      <c r="H59" s="221">
        <f t="shared" si="2"/>
        <v>7.0469999999999997</v>
      </c>
      <c r="I59" s="221">
        <f t="shared" si="2"/>
        <v>6.1829999999999998</v>
      </c>
      <c r="J59" s="221">
        <f t="shared" si="2"/>
        <v>5.6880000000000006</v>
      </c>
      <c r="K59" s="233">
        <f t="shared" si="2"/>
        <v>5.4719999999999995</v>
      </c>
    </row>
    <row r="60" spans="1:12" ht="16.5" thickBot="1" x14ac:dyDescent="0.3">
      <c r="A60" s="258" t="s">
        <v>236</v>
      </c>
      <c r="B60" s="236">
        <v>0.4</v>
      </c>
      <c r="C60" s="236">
        <f>C59</f>
        <v>9.4736842105263161E-2</v>
      </c>
      <c r="D60" s="219"/>
      <c r="E60" s="268">
        <f t="shared" si="0"/>
        <v>10.380508474576271</v>
      </c>
      <c r="F60" s="227">
        <f t="shared" ref="F60:K60" si="3">F54-(F54*0.1)</f>
        <v>13.41</v>
      </c>
      <c r="G60" s="227">
        <f t="shared" si="3"/>
        <v>11.34</v>
      </c>
      <c r="H60" s="227">
        <f t="shared" si="3"/>
        <v>9.81</v>
      </c>
      <c r="I60" s="227">
        <f t="shared" si="3"/>
        <v>8.5589999999999993</v>
      </c>
      <c r="J60" s="227">
        <f t="shared" si="3"/>
        <v>7.8480000000000008</v>
      </c>
      <c r="K60" s="228">
        <f t="shared" si="3"/>
        <v>7.5420000000000007</v>
      </c>
    </row>
    <row r="61" spans="1:12" x14ac:dyDescent="0.25">
      <c r="A61" s="256" t="s">
        <v>231</v>
      </c>
      <c r="B61" s="230">
        <v>0.3</v>
      </c>
      <c r="C61" s="230">
        <f>'1-Ore funzionamento'!AF14</f>
        <v>4.2105263157894743E-2</v>
      </c>
      <c r="D61" s="218"/>
      <c r="E61" s="261">
        <f t="shared" si="0"/>
        <v>2.4901322033898303</v>
      </c>
      <c r="F61" s="243">
        <f t="shared" ref="F61:K64" si="4">F55-(F55*0.1)</f>
        <v>3.1023000000000001</v>
      </c>
      <c r="G61" s="243">
        <f t="shared" si="4"/>
        <v>2.6729999999999996</v>
      </c>
      <c r="H61" s="243">
        <f t="shared" si="4"/>
        <v>2.3813999999999997</v>
      </c>
      <c r="I61" s="243">
        <f t="shared" si="4"/>
        <v>2.1546000000000003</v>
      </c>
      <c r="J61" s="243">
        <f t="shared" si="4"/>
        <v>2.0331000000000001</v>
      </c>
      <c r="K61" s="244">
        <f t="shared" si="4"/>
        <v>1.9763999999999997</v>
      </c>
    </row>
    <row r="62" spans="1:12" x14ac:dyDescent="0.25">
      <c r="A62" s="257" t="s">
        <v>232</v>
      </c>
      <c r="B62" s="222">
        <v>0.3</v>
      </c>
      <c r="C62" s="222">
        <f>C61</f>
        <v>4.2105263157894743E-2</v>
      </c>
      <c r="D62" s="217"/>
      <c r="E62" s="267">
        <f t="shared" si="0"/>
        <v>3.4463440677966104</v>
      </c>
      <c r="F62" s="223">
        <f t="shared" si="4"/>
        <v>4.5359999999999996</v>
      </c>
      <c r="G62" s="223">
        <f t="shared" si="4"/>
        <v>3.8070000000000004</v>
      </c>
      <c r="H62" s="223">
        <f t="shared" si="4"/>
        <v>3.2319</v>
      </c>
      <c r="I62" s="223">
        <f t="shared" si="4"/>
        <v>2.7783000000000002</v>
      </c>
      <c r="J62" s="223">
        <f t="shared" si="4"/>
        <v>2.5190999999999999</v>
      </c>
      <c r="K62" s="234">
        <f t="shared" si="4"/>
        <v>2.4056999999999999</v>
      </c>
    </row>
    <row r="63" spans="1:12" x14ac:dyDescent="0.25">
      <c r="A63" s="257" t="s">
        <v>233</v>
      </c>
      <c r="B63" s="222">
        <v>0.3</v>
      </c>
      <c r="C63" s="222">
        <f>C62</f>
        <v>4.2105263157894743E-2</v>
      </c>
      <c r="D63" s="217"/>
      <c r="E63" s="267">
        <f t="shared" si="0"/>
        <v>4.2347898305084746</v>
      </c>
      <c r="F63" s="223">
        <f t="shared" si="4"/>
        <v>5.5808999999999997</v>
      </c>
      <c r="G63" s="223">
        <f t="shared" si="4"/>
        <v>4.6818</v>
      </c>
      <c r="H63" s="223">
        <f t="shared" si="4"/>
        <v>3.9690000000000003</v>
      </c>
      <c r="I63" s="223">
        <f t="shared" si="4"/>
        <v>3.4100999999999999</v>
      </c>
      <c r="J63" s="223">
        <f t="shared" si="4"/>
        <v>3.0861000000000001</v>
      </c>
      <c r="K63" s="234">
        <f t="shared" si="4"/>
        <v>2.9402999999999997</v>
      </c>
    </row>
    <row r="64" spans="1:12" x14ac:dyDescent="0.25">
      <c r="A64" s="257" t="s">
        <v>234</v>
      </c>
      <c r="B64" s="222">
        <v>0.3</v>
      </c>
      <c r="C64" s="222">
        <f>C63</f>
        <v>4.2105263157894743E-2</v>
      </c>
      <c r="D64" s="217"/>
      <c r="E64" s="267">
        <f t="shared" si="0"/>
        <v>5.7611593220338984</v>
      </c>
      <c r="F64" s="223">
        <f t="shared" si="4"/>
        <v>7.5572999999999997</v>
      </c>
      <c r="G64" s="223">
        <f t="shared" si="4"/>
        <v>6.3504000000000005</v>
      </c>
      <c r="H64" s="223">
        <f t="shared" si="4"/>
        <v>5.4108000000000001</v>
      </c>
      <c r="I64" s="223">
        <f t="shared" si="4"/>
        <v>4.6656000000000004</v>
      </c>
      <c r="J64" s="223">
        <f t="shared" si="4"/>
        <v>4.2363000000000008</v>
      </c>
      <c r="K64" s="234">
        <f t="shared" si="4"/>
        <v>4.0419</v>
      </c>
    </row>
    <row r="65" spans="1:11" x14ac:dyDescent="0.25">
      <c r="A65" s="257" t="s">
        <v>235</v>
      </c>
      <c r="B65" s="222">
        <v>0.3</v>
      </c>
      <c r="C65" s="222">
        <f>C64</f>
        <v>4.2105263157894743E-2</v>
      </c>
      <c r="D65" s="217"/>
      <c r="E65" s="267">
        <f t="shared" si="0"/>
        <v>6.7077610169491519</v>
      </c>
      <c r="F65" s="223">
        <f t="shared" ref="F65:K65" si="5">F59-(F59*0.1)</f>
        <v>8.5859999999999985</v>
      </c>
      <c r="G65" s="223">
        <f t="shared" si="5"/>
        <v>7.3223999999999991</v>
      </c>
      <c r="H65" s="223">
        <f t="shared" si="5"/>
        <v>6.3422999999999998</v>
      </c>
      <c r="I65" s="223">
        <f t="shared" si="5"/>
        <v>5.5647000000000002</v>
      </c>
      <c r="J65" s="223">
        <f t="shared" si="5"/>
        <v>5.1192000000000002</v>
      </c>
      <c r="K65" s="234">
        <f t="shared" si="5"/>
        <v>4.9247999999999994</v>
      </c>
    </row>
    <row r="66" spans="1:11" ht="16.5" thickBot="1" x14ac:dyDescent="0.3">
      <c r="A66" s="258" t="s">
        <v>236</v>
      </c>
      <c r="B66" s="236">
        <v>0.3</v>
      </c>
      <c r="C66" s="236">
        <f>C65</f>
        <v>4.2105263157894743E-2</v>
      </c>
      <c r="D66" s="219"/>
      <c r="E66" s="268">
        <f t="shared" si="0"/>
        <v>9.3424576271186446</v>
      </c>
      <c r="F66" s="237">
        <f t="shared" ref="F66:K66" si="6">F60-(F60*0.1)</f>
        <v>12.068999999999999</v>
      </c>
      <c r="G66" s="237">
        <f t="shared" si="6"/>
        <v>10.206</v>
      </c>
      <c r="H66" s="237">
        <f t="shared" si="6"/>
        <v>8.8290000000000006</v>
      </c>
      <c r="I66" s="237">
        <f t="shared" si="6"/>
        <v>7.7030999999999992</v>
      </c>
      <c r="J66" s="237">
        <f t="shared" si="6"/>
        <v>7.0632000000000001</v>
      </c>
      <c r="K66" s="238">
        <f t="shared" si="6"/>
        <v>6.7878000000000007</v>
      </c>
    </row>
    <row r="67" spans="1:11" x14ac:dyDescent="0.25">
      <c r="C67" s="6"/>
    </row>
    <row r="68" spans="1:11" ht="16.5" thickBot="1" x14ac:dyDescent="0.3"/>
    <row r="69" spans="1:11" x14ac:dyDescent="0.25">
      <c r="A69" s="1208" t="s">
        <v>68</v>
      </c>
      <c r="B69" s="1209"/>
      <c r="C69" s="1209"/>
      <c r="D69" s="1210"/>
    </row>
    <row r="70" spans="1:11" x14ac:dyDescent="0.25">
      <c r="A70" s="18"/>
      <c r="B70" s="9" t="s">
        <v>56</v>
      </c>
      <c r="C70" s="16"/>
      <c r="D70" s="10"/>
    </row>
    <row r="71" spans="1:11" x14ac:dyDescent="0.25">
      <c r="A71" s="18"/>
      <c r="B71" s="9"/>
      <c r="C71" s="19" t="s">
        <v>59</v>
      </c>
      <c r="D71" s="20">
        <f>(18-'2-Dati generali-Cond. utilizzo'!$D$17)/7</f>
        <v>2.5714285714285716</v>
      </c>
    </row>
    <row r="72" spans="1:11" x14ac:dyDescent="0.25">
      <c r="A72" s="18"/>
      <c r="B72" s="9">
        <v>7</v>
      </c>
      <c r="C72" s="16"/>
      <c r="D72" s="10"/>
    </row>
    <row r="73" spans="1:11" x14ac:dyDescent="0.25">
      <c r="A73" s="21" t="s">
        <v>66</v>
      </c>
      <c r="B73" s="22">
        <f>'2-Dati generali-Cond. utilizzo'!D17</f>
        <v>0</v>
      </c>
      <c r="C73" s="17">
        <v>1</v>
      </c>
      <c r="D73" s="10"/>
    </row>
    <row r="74" spans="1:11" x14ac:dyDescent="0.25">
      <c r="A74" s="21" t="s">
        <v>60</v>
      </c>
      <c r="B74" s="22">
        <f>B73+$D$71</f>
        <v>2.5714285714285716</v>
      </c>
      <c r="C74" s="17">
        <v>0.9</v>
      </c>
      <c r="D74" s="10"/>
    </row>
    <row r="75" spans="1:11" x14ac:dyDescent="0.25">
      <c r="A75" s="21" t="s">
        <v>61</v>
      </c>
      <c r="B75" s="22">
        <f t="shared" ref="B75:B80" si="7">B74+$D$71</f>
        <v>5.1428571428571432</v>
      </c>
      <c r="C75" s="17">
        <v>0.8</v>
      </c>
      <c r="D75" s="10"/>
    </row>
    <row r="76" spans="1:11" x14ac:dyDescent="0.25">
      <c r="A76" s="21" t="s">
        <v>62</v>
      </c>
      <c r="B76" s="22">
        <f t="shared" si="7"/>
        <v>7.7142857142857153</v>
      </c>
      <c r="C76" s="17">
        <v>0.7</v>
      </c>
      <c r="D76" s="10"/>
    </row>
    <row r="77" spans="1:11" x14ac:dyDescent="0.25">
      <c r="A77" s="21" t="s">
        <v>63</v>
      </c>
      <c r="B77" s="22">
        <f t="shared" si="7"/>
        <v>10.285714285714286</v>
      </c>
      <c r="C77" s="17">
        <v>0.6</v>
      </c>
      <c r="D77" s="10"/>
    </row>
    <row r="78" spans="1:11" x14ac:dyDescent="0.25">
      <c r="A78" s="21" t="s">
        <v>64</v>
      </c>
      <c r="B78" s="22">
        <f t="shared" si="7"/>
        <v>12.857142857142858</v>
      </c>
      <c r="C78" s="17">
        <v>0.5</v>
      </c>
      <c r="D78" s="10"/>
    </row>
    <row r="79" spans="1:11" x14ac:dyDescent="0.25">
      <c r="A79" s="21" t="s">
        <v>65</v>
      </c>
      <c r="B79" s="22">
        <f t="shared" si="7"/>
        <v>15.428571428571429</v>
      </c>
      <c r="C79" s="17">
        <v>0.4</v>
      </c>
      <c r="D79" s="10"/>
    </row>
    <row r="80" spans="1:11" ht="16.5" thickBot="1" x14ac:dyDescent="0.3">
      <c r="A80" s="23" t="s">
        <v>67</v>
      </c>
      <c r="B80" s="24">
        <f t="shared" si="7"/>
        <v>18</v>
      </c>
      <c r="C80" s="14">
        <v>0.3</v>
      </c>
      <c r="D80" s="26"/>
    </row>
  </sheetData>
  <mergeCells count="8">
    <mergeCell ref="A10:B10"/>
    <mergeCell ref="A11:B11"/>
    <mergeCell ref="A69:D69"/>
    <mergeCell ref="F17:K17"/>
    <mergeCell ref="A12:B12"/>
    <mergeCell ref="A13:B13"/>
    <mergeCell ref="A14:B14"/>
    <mergeCell ref="A15:B15"/>
  </mergeCells>
  <phoneticPr fontId="7" type="noConversion"/>
  <pageMargins left="0.75" right="0.75" top="1" bottom="1" header="0.5" footer="0.5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D18"/>
  <sheetViews>
    <sheetView workbookViewId="0">
      <selection activeCell="A17" sqref="A17"/>
    </sheetView>
  </sheetViews>
  <sheetFormatPr defaultRowHeight="15.75" x14ac:dyDescent="0.25"/>
  <cols>
    <col min="1" max="1" width="12.75" style="571" customWidth="1"/>
    <col min="2" max="2" width="10.5" style="571" customWidth="1"/>
    <col min="3" max="4" width="9" style="571"/>
  </cols>
  <sheetData>
    <row r="1" spans="1:4" x14ac:dyDescent="0.25">
      <c r="A1" s="570" t="s">
        <v>26</v>
      </c>
    </row>
    <row r="2" spans="1:4" x14ac:dyDescent="0.25">
      <c r="A2" s="570" t="s">
        <v>27</v>
      </c>
    </row>
    <row r="3" spans="1:4" x14ac:dyDescent="0.25">
      <c r="A3" s="570" t="s">
        <v>28</v>
      </c>
    </row>
    <row r="4" spans="1:4" x14ac:dyDescent="0.25">
      <c r="A4" s="570" t="s">
        <v>29</v>
      </c>
    </row>
    <row r="5" spans="1:4" x14ac:dyDescent="0.25">
      <c r="A5" s="570" t="s">
        <v>2</v>
      </c>
    </row>
    <row r="7" spans="1:4" x14ac:dyDescent="0.25">
      <c r="A7" s="570" t="s">
        <v>275</v>
      </c>
      <c r="D7" s="571">
        <f>'2-Dati generali-Cond. utilizzo'!C42</f>
        <v>1</v>
      </c>
    </row>
    <row r="8" spans="1:4" x14ac:dyDescent="0.25">
      <c r="A8" s="570"/>
    </row>
    <row r="9" spans="1:4" x14ac:dyDescent="0.25">
      <c r="A9" s="570"/>
    </row>
    <row r="11" spans="1:4" x14ac:dyDescent="0.25">
      <c r="A11" s="570" t="s">
        <v>289</v>
      </c>
      <c r="B11" s="571" t="s">
        <v>288</v>
      </c>
      <c r="C11" s="571" t="s">
        <v>54</v>
      </c>
    </row>
    <row r="12" spans="1:4" x14ac:dyDescent="0.25">
      <c r="A12" s="571" t="str">
        <f>IF($D$7=1,'Rendimenti e consumi VRV'!A78,"")</f>
        <v>VRV 8hp</v>
      </c>
      <c r="B12" s="571">
        <f>IF($D$7=1,'Rendimenti e consumi VRV'!E78,"")</f>
        <v>22.4</v>
      </c>
      <c r="C12" s="571">
        <f>IF($D$7=1,'Rendimenti e consumi VRV'!C78,"")</f>
        <v>8</v>
      </c>
    </row>
    <row r="13" spans="1:4" x14ac:dyDescent="0.25">
      <c r="A13" s="571" t="str">
        <f>IF($D$7=1,'Rendimenti e consumi VRV'!A79,"")</f>
        <v>VRV 10hp</v>
      </c>
      <c r="B13" s="571">
        <f>IF($D$7=1,'Rendimenti e consumi VRV'!E79,"")</f>
        <v>28</v>
      </c>
      <c r="C13" s="571">
        <f>IF($D$7=1,'Rendimenti e consumi VRV'!C79,"")</f>
        <v>10</v>
      </c>
    </row>
    <row r="14" spans="1:4" x14ac:dyDescent="0.25">
      <c r="A14" s="571" t="str">
        <f>IF($D$7=1,'Rendimenti e consumi VRV'!A80,"")</f>
        <v>VRV 12hp</v>
      </c>
      <c r="B14" s="571">
        <f>IF($D$7=1,'Rendimenti e consumi VRV'!E80,"")</f>
        <v>33.5</v>
      </c>
      <c r="C14" s="571">
        <f>IF($D$7=1,'Rendimenti e consumi VRV'!C80,"")</f>
        <v>12</v>
      </c>
    </row>
    <row r="15" spans="1:4" x14ac:dyDescent="0.25">
      <c r="A15" s="571" t="str">
        <f>IF($D$7=1,'Rendimenti e consumi VRV'!A81,"")</f>
        <v>VRV 16hp</v>
      </c>
      <c r="B15" s="571">
        <f>IF($D$7=1,'Rendimenti e consumi VRV'!E81,"")</f>
        <v>45</v>
      </c>
      <c r="C15" s="571">
        <f>IF($D$7=1,'Rendimenti e consumi VRV'!C81,"")</f>
        <v>16</v>
      </c>
    </row>
    <row r="16" spans="1:4" x14ac:dyDescent="0.25">
      <c r="A16" s="571" t="str">
        <f>IF($D$7=1,'Rendimenti e consumi VRV'!A82,"")</f>
        <v>VRV 20hp</v>
      </c>
      <c r="B16" s="571">
        <f>IF($D$7=1,'Rendimenti e consumi VRV'!E82,"")</f>
        <v>55.9</v>
      </c>
      <c r="C16" s="571">
        <f>IF($D$7=1,'Rendimenti e consumi VRV'!C82,"")</f>
        <v>20</v>
      </c>
    </row>
    <row r="17" spans="1:3" x14ac:dyDescent="0.25">
      <c r="A17" s="571" t="str">
        <f>IF($D$7=1,'Rendimenti e consumi VRV'!A83,"")</f>
        <v>VRV 26hp</v>
      </c>
      <c r="B17" s="571">
        <f>IF($D$7=1,'Rendimenti e consumi VRV'!E83,"")</f>
        <v>71.400000000000006</v>
      </c>
      <c r="C17" s="571">
        <f>IF($D$7=1,'Rendimenti e consumi VRV'!C83,"")</f>
        <v>26</v>
      </c>
    </row>
    <row r="18" spans="1:3" x14ac:dyDescent="0.25">
      <c r="A18" s="578" t="s">
        <v>287</v>
      </c>
      <c r="B18" s="571">
        <f>IF($D$7=1,'Rendimenti e consumi VRV'!E84,"")</f>
        <v>0</v>
      </c>
      <c r="C18" s="571">
        <f>IF($D$7=1,'Rendimenti e consumi VRV'!C84,"")</f>
        <v>0</v>
      </c>
    </row>
  </sheetData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4"/>
  <dimension ref="A1:H25"/>
  <sheetViews>
    <sheetView workbookViewId="0">
      <selection activeCell="F9" sqref="F9"/>
    </sheetView>
  </sheetViews>
  <sheetFormatPr defaultRowHeight="15.75" x14ac:dyDescent="0.25"/>
  <cols>
    <col min="2" max="2" width="9.75" bestFit="1" customWidth="1"/>
    <col min="6" max="6" width="10.625" customWidth="1"/>
  </cols>
  <sheetData>
    <row r="1" spans="1:8" x14ac:dyDescent="0.25">
      <c r="A1" s="1208" t="s">
        <v>69</v>
      </c>
      <c r="B1" s="1209"/>
      <c r="C1" s="1209"/>
      <c r="D1" s="1210"/>
      <c r="E1" s="1208" t="s">
        <v>68</v>
      </c>
      <c r="F1" s="1209"/>
      <c r="G1" s="1209"/>
      <c r="H1" s="1210"/>
    </row>
    <row r="2" spans="1:8" x14ac:dyDescent="0.25">
      <c r="A2" s="18"/>
      <c r="B2" s="9" t="s">
        <v>70</v>
      </c>
      <c r="C2" s="16"/>
      <c r="D2" s="10"/>
      <c r="E2" s="18"/>
      <c r="F2" s="9" t="s">
        <v>56</v>
      </c>
      <c r="G2" s="16"/>
      <c r="H2" s="10"/>
    </row>
    <row r="3" spans="1:8" x14ac:dyDescent="0.25">
      <c r="A3" s="18"/>
      <c r="B3" s="9"/>
      <c r="C3" s="19" t="s">
        <v>59</v>
      </c>
      <c r="D3" s="20">
        <f>'Rendimenti e consumi ghp'!D11</f>
        <v>-2.8571428571428572</v>
      </c>
      <c r="E3" s="18"/>
      <c r="F3" s="9"/>
      <c r="G3" s="19" t="s">
        <v>59</v>
      </c>
      <c r="H3" s="20">
        <f>'Rendimenti e consumi ghp'!J11</f>
        <v>2.5714285714285716</v>
      </c>
    </row>
    <row r="4" spans="1:8" x14ac:dyDescent="0.25">
      <c r="A4" s="18"/>
      <c r="B4" s="9">
        <v>7</v>
      </c>
      <c r="C4" s="16"/>
      <c r="D4" s="10"/>
      <c r="E4" s="18"/>
      <c r="F4" s="9">
        <v>7</v>
      </c>
      <c r="G4" s="16"/>
      <c r="H4" s="10"/>
    </row>
    <row r="5" spans="1:8" x14ac:dyDescent="0.25">
      <c r="A5" s="21" t="s">
        <v>66</v>
      </c>
      <c r="B5" s="22">
        <f>'Rendimenti e consumi ghp'!B13</f>
        <v>0</v>
      </c>
      <c r="C5" s="17">
        <v>1</v>
      </c>
      <c r="D5" s="10"/>
      <c r="E5" s="21" t="s">
        <v>66</v>
      </c>
      <c r="F5" s="22">
        <f>'Rendimenti e consumi ghp'!H13</f>
        <v>0</v>
      </c>
      <c r="G5" s="17">
        <v>1</v>
      </c>
      <c r="H5" s="10"/>
    </row>
    <row r="6" spans="1:8" x14ac:dyDescent="0.25">
      <c r="A6" s="21" t="s">
        <v>60</v>
      </c>
      <c r="B6" s="22">
        <f>'Rendimenti e consumi ghp'!B14</f>
        <v>2.8571428571428572</v>
      </c>
      <c r="C6" s="17">
        <v>0.9</v>
      </c>
      <c r="D6" s="10"/>
      <c r="E6" s="21" t="s">
        <v>60</v>
      </c>
      <c r="F6" s="22">
        <f>'Rendimenti e consumi ghp'!H14</f>
        <v>2.5714285714285716</v>
      </c>
      <c r="G6" s="17">
        <v>0.9</v>
      </c>
      <c r="H6" s="10"/>
    </row>
    <row r="7" spans="1:8" x14ac:dyDescent="0.25">
      <c r="A7" s="21" t="s">
        <v>61</v>
      </c>
      <c r="B7" s="22">
        <f>'Rendimenti e consumi ghp'!B15</f>
        <v>5.7142857142857144</v>
      </c>
      <c r="C7" s="17">
        <v>0.8</v>
      </c>
      <c r="D7" s="10"/>
      <c r="E7" s="21" t="s">
        <v>61</v>
      </c>
      <c r="F7" s="22">
        <f>'Rendimenti e consumi ghp'!H15</f>
        <v>5.1428571428571432</v>
      </c>
      <c r="G7" s="17">
        <v>0.8</v>
      </c>
      <c r="H7" s="10"/>
    </row>
    <row r="8" spans="1:8" x14ac:dyDescent="0.25">
      <c r="A8" s="21" t="s">
        <v>62</v>
      </c>
      <c r="B8" s="22">
        <f>'Rendimenti e consumi ghp'!B16</f>
        <v>8.5714285714285712</v>
      </c>
      <c r="C8" s="17">
        <v>0.7</v>
      </c>
      <c r="D8" s="10"/>
      <c r="E8" s="21" t="s">
        <v>62</v>
      </c>
      <c r="F8" s="22">
        <f>'Rendimenti e consumi ghp'!H16</f>
        <v>7.7142857142857153</v>
      </c>
      <c r="G8" s="17">
        <v>0.7</v>
      </c>
      <c r="H8" s="10"/>
    </row>
    <row r="9" spans="1:8" x14ac:dyDescent="0.25">
      <c r="A9" s="21" t="s">
        <v>63</v>
      </c>
      <c r="B9" s="22">
        <f>'Rendimenti e consumi ghp'!B17</f>
        <v>11.428571428571429</v>
      </c>
      <c r="C9" s="17">
        <v>0.6</v>
      </c>
      <c r="D9" s="10"/>
      <c r="E9" s="21" t="s">
        <v>63</v>
      </c>
      <c r="F9" s="22">
        <f>'Rendimenti e consumi ghp'!H17</f>
        <v>10.285714285714286</v>
      </c>
      <c r="G9" s="17">
        <v>0.6</v>
      </c>
      <c r="H9" s="10"/>
    </row>
    <row r="10" spans="1:8" x14ac:dyDescent="0.25">
      <c r="A10" s="21" t="s">
        <v>64</v>
      </c>
      <c r="B10" s="22">
        <f>'Rendimenti e consumi ghp'!B18</f>
        <v>14.285714285714286</v>
      </c>
      <c r="C10" s="17">
        <v>0.5</v>
      </c>
      <c r="D10" s="10"/>
      <c r="E10" s="21" t="s">
        <v>64</v>
      </c>
      <c r="F10" s="22">
        <f>'Rendimenti e consumi ghp'!H18</f>
        <v>12.857142857142858</v>
      </c>
      <c r="G10" s="17">
        <v>0.5</v>
      </c>
      <c r="H10" s="10"/>
    </row>
    <row r="11" spans="1:8" x14ac:dyDescent="0.25">
      <c r="A11" s="21" t="s">
        <v>65</v>
      </c>
      <c r="B11" s="22">
        <f>'Rendimenti e consumi ghp'!B19</f>
        <v>17.142857142857142</v>
      </c>
      <c r="C11" s="17">
        <v>0.4</v>
      </c>
      <c r="D11" s="10"/>
      <c r="E11" s="21" t="s">
        <v>65</v>
      </c>
      <c r="F11" s="22">
        <f>'Rendimenti e consumi ghp'!H19</f>
        <v>15.428571428571429</v>
      </c>
      <c r="G11" s="17">
        <v>0.4</v>
      </c>
      <c r="H11" s="10"/>
    </row>
    <row r="12" spans="1:8" ht="16.5" thickBot="1" x14ac:dyDescent="0.3">
      <c r="A12" s="23" t="s">
        <v>67</v>
      </c>
      <c r="B12" s="22">
        <f>'Rendimenti e consumi ghp'!B20</f>
        <v>20</v>
      </c>
      <c r="C12" s="14">
        <v>0.3</v>
      </c>
      <c r="D12" s="26"/>
      <c r="E12" s="23" t="s">
        <v>67</v>
      </c>
      <c r="F12" s="22">
        <f>'Rendimenti e consumi ghp'!H20</f>
        <v>18</v>
      </c>
      <c r="G12" s="14">
        <v>0.3</v>
      </c>
      <c r="H12" s="26"/>
    </row>
    <row r="14" spans="1:8" x14ac:dyDescent="0.25">
      <c r="A14" t="s">
        <v>303</v>
      </c>
      <c r="G14" t="s">
        <v>304</v>
      </c>
    </row>
    <row r="15" spans="1:8" x14ac:dyDescent="0.25">
      <c r="A15" s="297" t="s">
        <v>305</v>
      </c>
    </row>
    <row r="17" spans="1:3" x14ac:dyDescent="0.25">
      <c r="B17" s="296" t="s">
        <v>68</v>
      </c>
      <c r="C17" t="s">
        <v>69</v>
      </c>
    </row>
    <row r="18" spans="1:3" x14ac:dyDescent="0.25">
      <c r="A18" s="17">
        <v>1</v>
      </c>
    </row>
    <row r="19" spans="1:3" x14ac:dyDescent="0.25">
      <c r="A19" s="17">
        <v>0.9</v>
      </c>
      <c r="B19" s="15">
        <f>A19*(((-2*10^-7)*F5^5)-((1*10^-6)*F5^4)+(0.0001*F5^3)+(0.0008*F5^2)-(0.0227*F5)+0.953)</f>
        <v>0.85770000000000002</v>
      </c>
      <c r="C19" s="15">
        <v>1</v>
      </c>
    </row>
    <row r="20" spans="1:3" x14ac:dyDescent="0.25">
      <c r="A20" s="17">
        <v>0.8</v>
      </c>
      <c r="B20" s="15">
        <f t="shared" ref="B20:B25" si="0">A20*(((-2*10^-7)*F6^5)-((1*10^-6)*F6^4)+(0.0001*F6^3)+(0.0008*F6^2)-(0.0227*F6)+0.953)</f>
        <v>0.72124196129707863</v>
      </c>
      <c r="C20" s="15">
        <v>1</v>
      </c>
    </row>
    <row r="21" spans="1:3" x14ac:dyDescent="0.25">
      <c r="A21" s="17">
        <v>0.7</v>
      </c>
      <c r="B21" s="15">
        <f t="shared" si="0"/>
        <v>0.60871970232403161</v>
      </c>
      <c r="C21" s="15">
        <v>1</v>
      </c>
    </row>
    <row r="22" spans="1:3" x14ac:dyDescent="0.25">
      <c r="A22" s="17">
        <v>0.6</v>
      </c>
      <c r="B22" s="15">
        <f t="shared" si="0"/>
        <v>0.51743778675075858</v>
      </c>
      <c r="C22" s="15">
        <v>1</v>
      </c>
    </row>
    <row r="23" spans="1:3" x14ac:dyDescent="0.25">
      <c r="A23" s="17">
        <v>0.5</v>
      </c>
      <c r="B23" s="15">
        <f t="shared" si="0"/>
        <v>0.43937588152555479</v>
      </c>
      <c r="C23" s="15">
        <v>1</v>
      </c>
    </row>
    <row r="24" spans="1:3" x14ac:dyDescent="0.25">
      <c r="A24" s="17">
        <v>0.4</v>
      </c>
      <c r="B24" s="15">
        <f t="shared" si="0"/>
        <v>0.36333237341583868</v>
      </c>
      <c r="C24" s="15">
        <v>1</v>
      </c>
    </row>
    <row r="25" spans="1:3" ht="16.5" thickBot="1" x14ac:dyDescent="0.3">
      <c r="A25" s="14">
        <v>0.3</v>
      </c>
      <c r="B25" s="15">
        <f t="shared" si="0"/>
        <v>0.27868694069851846</v>
      </c>
      <c r="C25" s="15">
        <v>1</v>
      </c>
    </row>
  </sheetData>
  <mergeCells count="2">
    <mergeCell ref="A1:D1"/>
    <mergeCell ref="E1:H1"/>
  </mergeCells>
  <phoneticPr fontId="7" type="noConversion"/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AA82"/>
  <sheetViews>
    <sheetView workbookViewId="0">
      <selection activeCell="I10" sqref="I10"/>
    </sheetView>
  </sheetViews>
  <sheetFormatPr defaultRowHeight="15.75" x14ac:dyDescent="0.25"/>
  <cols>
    <col min="6" max="6" width="10.25" bestFit="1" customWidth="1"/>
  </cols>
  <sheetData>
    <row r="1" spans="1:11" x14ac:dyDescent="0.25">
      <c r="A1" t="s">
        <v>306</v>
      </c>
      <c r="K1" t="s">
        <v>307</v>
      </c>
    </row>
    <row r="3" spans="1:11" x14ac:dyDescent="0.25">
      <c r="B3" s="143" t="s">
        <v>308</v>
      </c>
      <c r="C3" s="143" t="s">
        <v>309</v>
      </c>
      <c r="F3" t="s">
        <v>310</v>
      </c>
      <c r="J3" t="s">
        <v>311</v>
      </c>
    </row>
    <row r="4" spans="1:11" x14ac:dyDescent="0.25">
      <c r="B4" s="143"/>
      <c r="C4" s="143"/>
    </row>
    <row r="5" spans="1:11" ht="23.25" x14ac:dyDescent="0.25">
      <c r="B5" s="143"/>
      <c r="C5" s="143"/>
      <c r="F5" s="306">
        <f>'2-Dati generali-Cond. utilizzo'!D17</f>
        <v>0</v>
      </c>
      <c r="J5" s="299">
        <f>'2-Dati generali-Cond. utilizzo'!C7</f>
        <v>0</v>
      </c>
    </row>
    <row r="6" spans="1:11" ht="16.5" thickBot="1" x14ac:dyDescent="0.3">
      <c r="B6" s="143">
        <v>-20</v>
      </c>
      <c r="C6" s="143">
        <v>0.96</v>
      </c>
    </row>
    <row r="7" spans="1:11" ht="16.5" thickBot="1" x14ac:dyDescent="0.3">
      <c r="B7" s="300">
        <v>-10</v>
      </c>
      <c r="C7" s="300">
        <v>0.96</v>
      </c>
      <c r="F7" s="343" t="s">
        <v>320</v>
      </c>
      <c r="G7" s="344"/>
      <c r="H7" s="344"/>
      <c r="I7" s="344" t="s">
        <v>333</v>
      </c>
      <c r="J7" s="304"/>
    </row>
    <row r="8" spans="1:11" x14ac:dyDescent="0.25">
      <c r="B8" s="300">
        <v>-7</v>
      </c>
      <c r="C8" s="300">
        <v>0.96</v>
      </c>
    </row>
    <row r="9" spans="1:11" x14ac:dyDescent="0.25">
      <c r="B9" s="300">
        <v>-5</v>
      </c>
      <c r="C9" s="300">
        <v>0.93</v>
      </c>
      <c r="F9" s="307" t="s">
        <v>321</v>
      </c>
      <c r="G9" s="307" t="s">
        <v>314</v>
      </c>
      <c r="I9" s="307" t="s">
        <v>321</v>
      </c>
      <c r="J9" s="307" t="s">
        <v>314</v>
      </c>
    </row>
    <row r="10" spans="1:11" x14ac:dyDescent="0.25">
      <c r="B10" s="300">
        <v>-3</v>
      </c>
      <c r="C10" s="300">
        <v>0.87</v>
      </c>
      <c r="F10" s="307">
        <f>-0.000009 *F5^4 - 0.0001*F5^3 + 0.0026 *F5^2 + 0.0671 *F5 + 2.3284</f>
        <v>2.3283999999999998</v>
      </c>
      <c r="G10" s="307">
        <f xml:space="preserve"> 0.000006*(F5)^4 + 0.000006*(F5)^3 - 0.0031*(F5)^2 + 0.0209*(F5) + 3.2365</f>
        <v>3.2364999999999999</v>
      </c>
      <c r="I10" s="307">
        <v>2.9767288999999999</v>
      </c>
      <c r="J10" s="307">
        <v>3.2287919999999999</v>
      </c>
    </row>
    <row r="11" spans="1:11" x14ac:dyDescent="0.25">
      <c r="B11" s="300">
        <v>0</v>
      </c>
      <c r="C11" s="300">
        <v>0.81</v>
      </c>
    </row>
    <row r="12" spans="1:11" x14ac:dyDescent="0.25">
      <c r="B12" s="300">
        <v>3</v>
      </c>
      <c r="C12" s="300">
        <v>0.83</v>
      </c>
      <c r="F12" s="312" t="s">
        <v>330</v>
      </c>
      <c r="G12" s="312"/>
      <c r="I12" s="307" t="s">
        <v>334</v>
      </c>
      <c r="J12" s="307"/>
    </row>
    <row r="13" spans="1:11" x14ac:dyDescent="0.25">
      <c r="B13" s="300">
        <v>5</v>
      </c>
      <c r="C13" s="300">
        <v>0.89</v>
      </c>
      <c r="I13" s="307" t="s">
        <v>321</v>
      </c>
      <c r="J13" s="307" t="s">
        <v>314</v>
      </c>
    </row>
    <row r="14" spans="1:11" x14ac:dyDescent="0.25">
      <c r="B14" s="300">
        <v>7</v>
      </c>
      <c r="C14" s="300">
        <v>1</v>
      </c>
      <c r="F14" s="312" t="s">
        <v>321</v>
      </c>
      <c r="G14" s="312" t="s">
        <v>314</v>
      </c>
      <c r="I14" s="307">
        <f>I10/F10</f>
        <v>1.2784439529290501</v>
      </c>
      <c r="J14" s="307">
        <f>J10/G10</f>
        <v>0.99761841495442605</v>
      </c>
    </row>
    <row r="15" spans="1:11" x14ac:dyDescent="0.25">
      <c r="B15" s="300">
        <v>20</v>
      </c>
      <c r="C15" s="300">
        <v>1</v>
      </c>
      <c r="F15" s="312">
        <f>J5/F10</f>
        <v>0</v>
      </c>
      <c r="G15" s="312">
        <f>J5/G10</f>
        <v>0</v>
      </c>
    </row>
    <row r="16" spans="1:11" x14ac:dyDescent="0.25">
      <c r="B16" s="300"/>
      <c r="C16" s="300"/>
    </row>
    <row r="17" spans="2:10" x14ac:dyDescent="0.25">
      <c r="B17" s="298"/>
      <c r="C17" s="298"/>
      <c r="F17" s="312" t="s">
        <v>337</v>
      </c>
      <c r="G17" s="312"/>
      <c r="I17" s="312" t="s">
        <v>322</v>
      </c>
      <c r="J17" s="312"/>
    </row>
    <row r="18" spans="2:10" x14ac:dyDescent="0.25">
      <c r="F18" s="312" t="s">
        <v>321</v>
      </c>
      <c r="G18" s="312" t="s">
        <v>314</v>
      </c>
      <c r="I18" s="312" t="s">
        <v>321</v>
      </c>
      <c r="J18" s="312" t="s">
        <v>314</v>
      </c>
    </row>
    <row r="19" spans="2:10" x14ac:dyDescent="0.25">
      <c r="F19" s="312">
        <f>D75/2.8</f>
        <v>0</v>
      </c>
      <c r="G19" s="312">
        <f>D75/2.8</f>
        <v>0</v>
      </c>
      <c r="I19" s="312">
        <f>MAX(F19,F15)</f>
        <v>0</v>
      </c>
      <c r="J19" s="312">
        <f>MAX(G19,G15)</f>
        <v>0</v>
      </c>
    </row>
    <row r="20" spans="2:10" x14ac:dyDescent="0.25">
      <c r="F20" t="s">
        <v>345</v>
      </c>
    </row>
    <row r="22" spans="2:10" x14ac:dyDescent="0.25">
      <c r="B22" s="298" t="s">
        <v>312</v>
      </c>
      <c r="C22" s="298"/>
      <c r="E22" t="s">
        <v>316</v>
      </c>
    </row>
    <row r="23" spans="2:10" ht="16.5" thickBot="1" x14ac:dyDescent="0.3">
      <c r="B23" s="298"/>
      <c r="C23" s="298"/>
    </row>
    <row r="24" spans="2:10" ht="16.5" thickBot="1" x14ac:dyDescent="0.3">
      <c r="B24" s="143" t="s">
        <v>308</v>
      </c>
      <c r="C24" s="298" t="s">
        <v>313</v>
      </c>
      <c r="D24" t="s">
        <v>315</v>
      </c>
      <c r="E24" s="298" t="s">
        <v>314</v>
      </c>
      <c r="G24" s="303" t="s">
        <v>317</v>
      </c>
      <c r="H24" s="304" t="s">
        <v>318</v>
      </c>
      <c r="I24" s="305"/>
    </row>
    <row r="25" spans="2:10" x14ac:dyDescent="0.25">
      <c r="B25" s="298">
        <v>-20</v>
      </c>
      <c r="C25" s="298">
        <v>46.6</v>
      </c>
      <c r="D25">
        <f>C25*0.96</f>
        <v>44.735999999999997</v>
      </c>
      <c r="E25">
        <v>63</v>
      </c>
      <c r="G25" s="18">
        <f>D25/26</f>
        <v>1.7206153846153844</v>
      </c>
      <c r="H25" s="10">
        <f>E25/25</f>
        <v>2.52</v>
      </c>
      <c r="I25" s="10" t="s">
        <v>319</v>
      </c>
    </row>
    <row r="26" spans="2:10" x14ac:dyDescent="0.25">
      <c r="B26" s="298">
        <v>-16</v>
      </c>
      <c r="C26" s="298">
        <v>49.8</v>
      </c>
      <c r="D26">
        <f>C26*0.96</f>
        <v>47.807999999999993</v>
      </c>
      <c r="E26">
        <v>64</v>
      </c>
      <c r="G26" s="18">
        <f t="shared" ref="G26:G32" si="0">D26/26</f>
        <v>1.8387692307692305</v>
      </c>
      <c r="H26" s="10">
        <f t="shared" ref="H26:H32" si="1">E26/25</f>
        <v>2.56</v>
      </c>
      <c r="I26" s="10" t="s">
        <v>319</v>
      </c>
    </row>
    <row r="27" spans="2:10" x14ac:dyDescent="0.25">
      <c r="B27" s="298">
        <v>-10</v>
      </c>
      <c r="C27">
        <v>57.1</v>
      </c>
      <c r="D27">
        <f>C27*(0.00000002*B27^6 - 0.0000007*B27^5 - 0.00002*B27^4 + 0.0003*B27^3 + 0.0043*B27^2 - 0.0101*B27 + 0.8122)</f>
        <v>53.285720000000005</v>
      </c>
      <c r="E27" s="298">
        <v>68</v>
      </c>
      <c r="G27" s="18">
        <f t="shared" si="0"/>
        <v>2.0494507692307695</v>
      </c>
      <c r="H27" s="10">
        <f t="shared" si="1"/>
        <v>2.72</v>
      </c>
      <c r="I27" s="10" t="s">
        <v>319</v>
      </c>
    </row>
    <row r="28" spans="2:10" x14ac:dyDescent="0.25">
      <c r="B28" s="298">
        <v>-2</v>
      </c>
      <c r="C28" s="301">
        <v>67.8</v>
      </c>
      <c r="D28">
        <f>C28*(0.00000002*B28^6 - 0.0000007*B28^5 - 0.00002*B28^4 + 0.0003*B28^3 + 0.0043*B28^2 - 0.0101*B28 + 0.8122)</f>
        <v>57.420069504000004</v>
      </c>
      <c r="E28" s="298">
        <v>78.7</v>
      </c>
      <c r="G28" s="18">
        <f t="shared" si="0"/>
        <v>2.2084642116923079</v>
      </c>
      <c r="H28" s="10">
        <f t="shared" si="1"/>
        <v>3.1480000000000001</v>
      </c>
      <c r="I28" s="10" t="s">
        <v>319</v>
      </c>
    </row>
    <row r="29" spans="2:10" x14ac:dyDescent="0.25">
      <c r="B29">
        <v>1</v>
      </c>
      <c r="C29" s="301">
        <v>72.7</v>
      </c>
      <c r="D29">
        <f>C29*(0.00000002*B29^6 - 0.0000007*B29^5 - 0.00002*B29^4 + 0.0003*B29^3 + 0.0043*B29^2 - 0.0101*B29 + 0.8122)</f>
        <v>58.645586563999998</v>
      </c>
      <c r="E29">
        <v>84</v>
      </c>
      <c r="G29" s="18">
        <f t="shared" si="0"/>
        <v>2.2555994832307693</v>
      </c>
      <c r="H29" s="10">
        <f t="shared" si="1"/>
        <v>3.36</v>
      </c>
      <c r="I29" s="10" t="s">
        <v>319</v>
      </c>
    </row>
    <row r="30" spans="2:10" x14ac:dyDescent="0.25">
      <c r="B30" s="301">
        <v>6</v>
      </c>
      <c r="C30">
        <v>81.5</v>
      </c>
      <c r="D30">
        <f>C30*(0.00000002*B30^6 - 0.0000007*B30^5 - 0.00002*B30^4 + 0.0003*B30^3 + 0.0043*B30^2 - 0.0101*B30 + 0.8122)</f>
        <v>76.67274848000001</v>
      </c>
      <c r="E30">
        <v>80</v>
      </c>
      <c r="G30" s="18">
        <f t="shared" si="0"/>
        <v>2.9489518646153852</v>
      </c>
      <c r="H30" s="10">
        <f t="shared" si="1"/>
        <v>3.2</v>
      </c>
      <c r="I30" s="10" t="s">
        <v>319</v>
      </c>
    </row>
    <row r="31" spans="2:10" x14ac:dyDescent="0.25">
      <c r="B31" s="301">
        <v>11</v>
      </c>
      <c r="C31">
        <v>81.5</v>
      </c>
      <c r="D31">
        <f>D30</f>
        <v>76.67274848000001</v>
      </c>
      <c r="E31">
        <v>80</v>
      </c>
      <c r="G31" s="18">
        <f t="shared" si="0"/>
        <v>2.9489518646153852</v>
      </c>
      <c r="H31" s="10">
        <f t="shared" si="1"/>
        <v>3.2</v>
      </c>
      <c r="I31" s="10" t="s">
        <v>319</v>
      </c>
    </row>
    <row r="32" spans="2:10" ht="16.5" thickBot="1" x14ac:dyDescent="0.3">
      <c r="B32" s="301">
        <v>15</v>
      </c>
      <c r="C32">
        <v>81.5</v>
      </c>
      <c r="D32">
        <f>D30</f>
        <v>76.67274848000001</v>
      </c>
      <c r="E32">
        <v>80</v>
      </c>
      <c r="G32" s="302">
        <f t="shared" si="0"/>
        <v>2.9489518646153852</v>
      </c>
      <c r="H32" s="26">
        <f t="shared" si="1"/>
        <v>3.2</v>
      </c>
      <c r="I32" s="26" t="s">
        <v>319</v>
      </c>
    </row>
    <row r="38" spans="3:3" x14ac:dyDescent="0.25">
      <c r="C38">
        <f>-0.000009 *F5^4 - 0.0001*F5^3 + 0.0026 *F5^2 + 0.0671 *F5 + 2.3284</f>
        <v>2.3283999999999998</v>
      </c>
    </row>
    <row r="66" spans="1:27" ht="16.5" thickBot="1" x14ac:dyDescent="0.3"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x14ac:dyDescent="0.25">
      <c r="G67" s="29" t="s">
        <v>314</v>
      </c>
      <c r="H67" s="30"/>
      <c r="I67" s="30" t="s">
        <v>321</v>
      </c>
      <c r="J67" s="30"/>
      <c r="K67" s="31"/>
      <c r="M67" s="6" t="s">
        <v>343</v>
      </c>
      <c r="N67" s="326"/>
      <c r="O67" s="44"/>
      <c r="R67" s="1211" t="s">
        <v>344</v>
      </c>
      <c r="S67" s="1211"/>
      <c r="T67" s="1211"/>
      <c r="U67" s="1211"/>
      <c r="V67" s="6"/>
      <c r="W67" s="6"/>
      <c r="X67" s="1211"/>
      <c r="Y67" s="1211"/>
      <c r="Z67" s="1211"/>
      <c r="AA67" s="1211"/>
    </row>
    <row r="68" spans="1:27" ht="32.25" thickBot="1" x14ac:dyDescent="0.3">
      <c r="G68" s="18"/>
      <c r="H68" s="6"/>
      <c r="I68" s="6"/>
      <c r="J68" s="6"/>
      <c r="K68" s="10"/>
      <c r="M68" s="6" t="s">
        <v>338</v>
      </c>
      <c r="N68" s="326" t="s">
        <v>339</v>
      </c>
      <c r="O68" s="44" t="s">
        <v>340</v>
      </c>
      <c r="P68" s="44" t="s">
        <v>341</v>
      </c>
      <c r="Q68" s="4" t="s">
        <v>342</v>
      </c>
      <c r="R68" s="6"/>
      <c r="S68" s="337" t="s">
        <v>339</v>
      </c>
      <c r="T68" s="338" t="s">
        <v>340</v>
      </c>
      <c r="U68" s="338" t="s">
        <v>341</v>
      </c>
      <c r="V68" s="339" t="s">
        <v>342</v>
      </c>
      <c r="W68" s="6"/>
      <c r="X68" s="6"/>
      <c r="Y68" s="9"/>
      <c r="Z68" s="16"/>
      <c r="AA68" s="6"/>
    </row>
    <row r="69" spans="1:27" x14ac:dyDescent="0.25">
      <c r="A69" s="29" t="s">
        <v>310</v>
      </c>
      <c r="B69" s="30"/>
      <c r="C69" s="30"/>
      <c r="D69" s="30" t="s">
        <v>323</v>
      </c>
      <c r="E69" s="31"/>
      <c r="G69" s="18" t="s">
        <v>325</v>
      </c>
      <c r="H69" s="6"/>
      <c r="I69" s="6" t="s">
        <v>326</v>
      </c>
      <c r="J69" s="6"/>
      <c r="K69" s="10"/>
      <c r="M69" s="329">
        <v>100</v>
      </c>
      <c r="N69" s="330">
        <f>M69/G82</f>
        <v>100</v>
      </c>
      <c r="O69" s="331">
        <f>100/G80</f>
        <v>100</v>
      </c>
      <c r="P69" s="332">
        <f>100/I82</f>
        <v>100</v>
      </c>
      <c r="Q69" s="333">
        <f>100/I80</f>
        <v>100</v>
      </c>
      <c r="R69" s="334"/>
      <c r="S69" s="340">
        <f>ROUND(N69,-1)</f>
        <v>100</v>
      </c>
      <c r="T69" s="340">
        <f>ROUND(O69,-1)</f>
        <v>100</v>
      </c>
      <c r="U69" s="340">
        <f>ROUND(P69,-1)</f>
        <v>100</v>
      </c>
      <c r="V69" s="340">
        <f>ROUND(Q69,-1)</f>
        <v>100</v>
      </c>
      <c r="W69" s="6"/>
      <c r="X69" s="6"/>
      <c r="Y69" s="9"/>
      <c r="Z69" s="19"/>
      <c r="AA69" s="25"/>
    </row>
    <row r="70" spans="1:27" x14ac:dyDescent="0.25">
      <c r="A70" s="18"/>
      <c r="B70" s="6"/>
      <c r="C70" s="6"/>
      <c r="D70" s="6"/>
      <c r="E70" s="10"/>
      <c r="G70" s="18"/>
      <c r="H70" s="6"/>
      <c r="I70" s="6"/>
      <c r="J70" s="6"/>
      <c r="K70" s="10"/>
      <c r="M70" s="329">
        <v>90</v>
      </c>
      <c r="N70" s="330">
        <f>N69-N78</f>
        <v>90</v>
      </c>
      <c r="O70" s="331">
        <f>O69-O78</f>
        <v>90</v>
      </c>
      <c r="P70" s="330">
        <f>P69-P78</f>
        <v>90</v>
      </c>
      <c r="Q70" s="301">
        <f>Q69-Q78</f>
        <v>90</v>
      </c>
      <c r="R70" s="334"/>
      <c r="S70" s="340">
        <f t="shared" ref="S70:S76" si="2">ROUND(N70,-1)</f>
        <v>90</v>
      </c>
      <c r="T70" s="340">
        <f t="shared" ref="T70:T76" si="3">ROUND(O70,-1)</f>
        <v>90</v>
      </c>
      <c r="U70" s="340">
        <f t="shared" ref="U70:U76" si="4">ROUND(P70,-1)</f>
        <v>90</v>
      </c>
      <c r="V70" s="340">
        <f t="shared" ref="V70:V76" si="5">ROUND(Q70,-1)</f>
        <v>90</v>
      </c>
      <c r="W70" s="6"/>
      <c r="X70" s="6"/>
      <c r="Y70" s="9"/>
      <c r="Z70" s="16"/>
      <c r="AA70" s="6"/>
    </row>
    <row r="71" spans="1:27" x14ac:dyDescent="0.25">
      <c r="A71" s="313">
        <f>F5</f>
        <v>0</v>
      </c>
      <c r="B71" s="6"/>
      <c r="C71" s="6"/>
      <c r="D71" s="6">
        <f>J5</f>
        <v>0</v>
      </c>
      <c r="E71" s="10"/>
      <c r="G71" s="317">
        <f>SUM('3-Caratteristiche dei sistemi'!E14:G14)</f>
        <v>0</v>
      </c>
      <c r="H71" s="315"/>
      <c r="I71" s="316">
        <f>SUM('3-Caratteristiche dei sistemi'!U14:V14)</f>
        <v>0</v>
      </c>
      <c r="J71" s="6"/>
      <c r="K71" s="10"/>
      <c r="M71" s="329">
        <v>80</v>
      </c>
      <c r="N71" s="330">
        <f>N70-N78</f>
        <v>80</v>
      </c>
      <c r="O71" s="331">
        <f>O70-O78</f>
        <v>80</v>
      </c>
      <c r="P71" s="330">
        <f>P70-P78</f>
        <v>80</v>
      </c>
      <c r="Q71" s="301">
        <f>Q70-Q78</f>
        <v>80</v>
      </c>
      <c r="R71" s="335"/>
      <c r="S71" s="340">
        <f t="shared" si="2"/>
        <v>80</v>
      </c>
      <c r="T71" s="340">
        <f t="shared" si="3"/>
        <v>80</v>
      </c>
      <c r="U71" s="340">
        <f t="shared" si="4"/>
        <v>80</v>
      </c>
      <c r="V71" s="340">
        <f t="shared" si="5"/>
        <v>80</v>
      </c>
      <c r="W71" s="6"/>
      <c r="X71" s="327"/>
      <c r="Y71" s="22"/>
      <c r="Z71" s="17"/>
      <c r="AA71" s="6"/>
    </row>
    <row r="72" spans="1:27" x14ac:dyDescent="0.25">
      <c r="A72" s="18"/>
      <c r="B72" s="6"/>
      <c r="C72" s="6"/>
      <c r="D72" s="6"/>
      <c r="E72" s="10"/>
      <c r="G72" s="18"/>
      <c r="H72" s="6"/>
      <c r="I72" s="6"/>
      <c r="J72" s="6"/>
      <c r="K72" s="10"/>
      <c r="M72" s="329">
        <v>70</v>
      </c>
      <c r="N72" s="330">
        <f>N71-N78</f>
        <v>70</v>
      </c>
      <c r="O72" s="331">
        <f>O71-O78</f>
        <v>70</v>
      </c>
      <c r="P72" s="330">
        <f>P71-P78</f>
        <v>70</v>
      </c>
      <c r="Q72" s="301">
        <f>Q71-Q78</f>
        <v>70</v>
      </c>
      <c r="R72" s="335"/>
      <c r="S72" s="340">
        <f t="shared" si="2"/>
        <v>70</v>
      </c>
      <c r="T72" s="340">
        <f t="shared" si="3"/>
        <v>70</v>
      </c>
      <c r="U72" s="340">
        <f t="shared" si="4"/>
        <v>70</v>
      </c>
      <c r="V72" s="340">
        <f t="shared" si="5"/>
        <v>70</v>
      </c>
      <c r="W72" s="6"/>
      <c r="X72" s="327"/>
      <c r="Y72" s="22"/>
      <c r="Z72" s="17"/>
      <c r="AA72" s="6"/>
    </row>
    <row r="73" spans="1:27" x14ac:dyDescent="0.25">
      <c r="A73" s="18" t="s">
        <v>324</v>
      </c>
      <c r="B73" s="6"/>
      <c r="C73" s="6"/>
      <c r="D73" s="6" t="s">
        <v>323</v>
      </c>
      <c r="E73" s="10"/>
      <c r="G73" s="18" t="s">
        <v>327</v>
      </c>
      <c r="H73" s="6"/>
      <c r="I73" s="6" t="s">
        <v>327</v>
      </c>
      <c r="J73" s="6"/>
      <c r="K73" s="10"/>
      <c r="M73" s="329">
        <v>60</v>
      </c>
      <c r="N73" s="330">
        <f>N72-N78</f>
        <v>60</v>
      </c>
      <c r="O73" s="331">
        <f>O72-O78</f>
        <v>60</v>
      </c>
      <c r="P73" s="330">
        <f>P72-P78</f>
        <v>60</v>
      </c>
      <c r="Q73" s="301">
        <f>Q72-Q78</f>
        <v>60</v>
      </c>
      <c r="R73" s="335"/>
      <c r="S73" s="340">
        <f t="shared" si="2"/>
        <v>60</v>
      </c>
      <c r="T73" s="340">
        <f t="shared" si="3"/>
        <v>60</v>
      </c>
      <c r="U73" s="340">
        <f t="shared" si="4"/>
        <v>60</v>
      </c>
      <c r="V73" s="340">
        <f t="shared" si="5"/>
        <v>60</v>
      </c>
      <c r="W73" s="6"/>
      <c r="X73" s="327"/>
      <c r="Y73" s="22"/>
      <c r="Z73" s="17"/>
      <c r="AA73" s="6"/>
    </row>
    <row r="74" spans="1:27" x14ac:dyDescent="0.25">
      <c r="A74" s="18"/>
      <c r="B74" s="6"/>
      <c r="C74" s="6"/>
      <c r="D74" s="6"/>
      <c r="E74" s="10"/>
      <c r="G74" s="318">
        <f>G71</f>
        <v>0</v>
      </c>
      <c r="H74" s="6"/>
      <c r="I74" s="319">
        <f>I71</f>
        <v>0</v>
      </c>
      <c r="J74" s="6"/>
      <c r="K74" s="10"/>
      <c r="M74" s="329">
        <v>50</v>
      </c>
      <c r="N74" s="330">
        <f>N73-N78</f>
        <v>50</v>
      </c>
      <c r="O74" s="331">
        <f>O73-O78</f>
        <v>50</v>
      </c>
      <c r="P74" s="330">
        <f>P73-P78</f>
        <v>50</v>
      </c>
      <c r="Q74" s="301">
        <f>Q73-Q78</f>
        <v>50</v>
      </c>
      <c r="R74" s="335"/>
      <c r="S74" s="340">
        <f t="shared" si="2"/>
        <v>50</v>
      </c>
      <c r="T74" s="340">
        <f t="shared" si="3"/>
        <v>50</v>
      </c>
      <c r="U74" s="340">
        <f t="shared" si="4"/>
        <v>50</v>
      </c>
      <c r="V74" s="340">
        <f t="shared" si="5"/>
        <v>50</v>
      </c>
      <c r="W74" s="6"/>
      <c r="X74" s="327"/>
      <c r="Y74" s="22"/>
      <c r="Z74" s="17"/>
      <c r="AA74" s="6"/>
    </row>
    <row r="75" spans="1:27" ht="16.5" thickBot="1" x14ac:dyDescent="0.3">
      <c r="A75" s="302">
        <f>'2-Dati generali-Cond. utilizzo'!D19</f>
        <v>0</v>
      </c>
      <c r="B75" s="314"/>
      <c r="C75" s="314"/>
      <c r="D75" s="314">
        <f>'2-Dati generali-Cond. utilizzo'!C6</f>
        <v>0</v>
      </c>
      <c r="E75" s="26"/>
      <c r="G75" s="18" t="s">
        <v>328</v>
      </c>
      <c r="H75" s="6"/>
      <c r="I75" s="6" t="s">
        <v>329</v>
      </c>
      <c r="J75" s="6"/>
      <c r="K75" s="10"/>
      <c r="M75" s="329">
        <v>40</v>
      </c>
      <c r="N75" s="330">
        <f>N76+N78</f>
        <v>40</v>
      </c>
      <c r="O75" s="331">
        <f>O74-O78</f>
        <v>40</v>
      </c>
      <c r="P75" s="330">
        <f>P74-P78</f>
        <v>40</v>
      </c>
      <c r="Q75" s="301">
        <f>Q74-Q78</f>
        <v>40</v>
      </c>
      <c r="R75" s="335"/>
      <c r="S75" s="340">
        <f t="shared" si="2"/>
        <v>40</v>
      </c>
      <c r="T75" s="340">
        <f t="shared" si="3"/>
        <v>40</v>
      </c>
      <c r="U75" s="340">
        <f t="shared" si="4"/>
        <v>40</v>
      </c>
      <c r="V75" s="340">
        <f t="shared" si="5"/>
        <v>40</v>
      </c>
      <c r="W75" s="6"/>
      <c r="X75" s="327"/>
      <c r="Y75" s="22"/>
      <c r="Z75" s="17"/>
      <c r="AA75" s="6"/>
    </row>
    <row r="76" spans="1:27" x14ac:dyDescent="0.25">
      <c r="G76" s="18">
        <f>((G71*(80/71))/J14)</f>
        <v>0</v>
      </c>
      <c r="H76" s="6"/>
      <c r="I76" s="6">
        <f>((I71*(80/71))/I14)</f>
        <v>0</v>
      </c>
      <c r="J76" s="6"/>
      <c r="K76" s="10"/>
      <c r="M76" s="329">
        <v>30</v>
      </c>
      <c r="N76" s="330">
        <v>30</v>
      </c>
      <c r="O76" s="331">
        <v>30</v>
      </c>
      <c r="P76" s="330">
        <v>30</v>
      </c>
      <c r="Q76" s="301">
        <v>30</v>
      </c>
      <c r="R76" s="335"/>
      <c r="S76" s="340">
        <f t="shared" si="2"/>
        <v>30</v>
      </c>
      <c r="T76" s="340">
        <f t="shared" si="3"/>
        <v>30</v>
      </c>
      <c r="U76" s="340">
        <f t="shared" si="4"/>
        <v>30</v>
      </c>
      <c r="V76" s="340">
        <f t="shared" si="5"/>
        <v>30</v>
      </c>
      <c r="W76" s="6"/>
      <c r="X76" s="327"/>
      <c r="Y76" s="22"/>
      <c r="Z76" s="17"/>
      <c r="AA76" s="6"/>
    </row>
    <row r="77" spans="1:27" ht="16.5" thickBot="1" x14ac:dyDescent="0.3">
      <c r="A77" t="s">
        <v>331</v>
      </c>
      <c r="G77" s="18"/>
      <c r="H77" s="6"/>
      <c r="I77" s="6"/>
      <c r="J77" s="6"/>
      <c r="K77" s="10"/>
      <c r="M77" s="6"/>
      <c r="N77" s="301"/>
      <c r="O77" s="333"/>
      <c r="P77" s="330"/>
      <c r="Q77" s="301"/>
      <c r="R77" s="335"/>
      <c r="S77" s="22"/>
      <c r="T77" s="17"/>
      <c r="U77" s="6"/>
      <c r="V77" s="5"/>
      <c r="W77" s="6"/>
      <c r="X77" s="327"/>
      <c r="Y77" s="22"/>
      <c r="Z77" s="17"/>
      <c r="AA77" s="6"/>
    </row>
    <row r="78" spans="1:27" x14ac:dyDescent="0.25">
      <c r="G78" s="308" t="s">
        <v>332</v>
      </c>
      <c r="H78" s="325"/>
      <c r="I78" s="325"/>
      <c r="J78" s="325"/>
      <c r="K78" s="309"/>
      <c r="M78" s="6"/>
      <c r="N78" s="333">
        <f>(N69-N76)/7</f>
        <v>10</v>
      </c>
      <c r="O78" s="333">
        <f>(O69-O76)/7</f>
        <v>10</v>
      </c>
      <c r="P78" s="333">
        <f>(P69-P76)/7</f>
        <v>10</v>
      </c>
      <c r="Q78" s="333">
        <f>(Q69-Q76)/7</f>
        <v>10</v>
      </c>
      <c r="R78" s="336"/>
      <c r="S78" s="22"/>
      <c r="T78" s="17"/>
      <c r="U78" s="6"/>
      <c r="V78" s="6"/>
      <c r="W78" s="6"/>
      <c r="X78" s="328"/>
      <c r="Y78" s="22"/>
      <c r="Z78" s="17"/>
      <c r="AA78" s="6"/>
    </row>
    <row r="79" spans="1:27" x14ac:dyDescent="0.25">
      <c r="G79" s="320"/>
      <c r="H79" s="321"/>
      <c r="I79" s="321"/>
      <c r="J79" s="321"/>
      <c r="K79" s="32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x14ac:dyDescent="0.25">
      <c r="G80" s="320">
        <f>IF('2-Dati generali-Cond. utilizzo'!C6=0,1,G74/D75)</f>
        <v>1</v>
      </c>
      <c r="H80" s="321"/>
      <c r="I80" s="321">
        <f>IF('2-Dati generali-Cond. utilizzo'!C6=0,1,I74/D75)</f>
        <v>1</v>
      </c>
      <c r="J80" s="321"/>
      <c r="K80" s="322" t="s">
        <v>335</v>
      </c>
    </row>
    <row r="81" spans="7:11" x14ac:dyDescent="0.25">
      <c r="G81" s="320"/>
      <c r="H81" s="321"/>
      <c r="I81" s="321"/>
      <c r="J81" s="321"/>
      <c r="K81" s="322"/>
    </row>
    <row r="82" spans="7:11" ht="23.25" thickBot="1" x14ac:dyDescent="0.3">
      <c r="G82" s="310">
        <f>IF('2-Dati generali-Cond. utilizzo'!C7=0,1,G76/D71)</f>
        <v>1</v>
      </c>
      <c r="H82" s="323"/>
      <c r="I82" s="324">
        <f>IF('2-Dati generali-Cond. utilizzo'!C7=0,1,I76/D71)</f>
        <v>1</v>
      </c>
      <c r="J82" s="324"/>
      <c r="K82" s="311" t="s">
        <v>336</v>
      </c>
    </row>
  </sheetData>
  <mergeCells count="2">
    <mergeCell ref="R67:U67"/>
    <mergeCell ref="X67:AA67"/>
  </mergeCells>
  <phoneticPr fontId="7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6"/>
  <dimension ref="A2:AE105"/>
  <sheetViews>
    <sheetView topLeftCell="A52" workbookViewId="0">
      <selection activeCell="O78" sqref="O78"/>
    </sheetView>
  </sheetViews>
  <sheetFormatPr defaultRowHeight="15.75" x14ac:dyDescent="0.25"/>
  <cols>
    <col min="1" max="1" width="9.5" bestFit="1" customWidth="1"/>
    <col min="2" max="2" width="16.5" bestFit="1" customWidth="1"/>
    <col min="3" max="3" width="12.625" bestFit="1" customWidth="1"/>
    <col min="4" max="4" width="12.75" bestFit="1" customWidth="1"/>
    <col min="5" max="5" width="15.75" customWidth="1"/>
    <col min="6" max="6" width="14.375" customWidth="1"/>
    <col min="7" max="10" width="12.75" customWidth="1"/>
    <col min="11" max="11" width="12.75" style="6" customWidth="1"/>
    <col min="12" max="18" width="12.75" customWidth="1"/>
  </cols>
  <sheetData>
    <row r="2" spans="1:16" x14ac:dyDescent="0.25">
      <c r="C2" t="s">
        <v>47</v>
      </c>
      <c r="E2" t="s">
        <v>50</v>
      </c>
      <c r="G2" t="s">
        <v>51</v>
      </c>
      <c r="H2" t="s">
        <v>52</v>
      </c>
    </row>
    <row r="3" spans="1:16" x14ac:dyDescent="0.25">
      <c r="A3" t="s">
        <v>45</v>
      </c>
      <c r="B3" t="s">
        <v>46</v>
      </c>
      <c r="C3" t="s">
        <v>48</v>
      </c>
      <c r="D3" t="s">
        <v>49</v>
      </c>
      <c r="E3" t="s">
        <v>48</v>
      </c>
      <c r="F3" t="s">
        <v>49</v>
      </c>
    </row>
    <row r="4" spans="1:16" x14ac:dyDescent="0.25">
      <c r="C4" t="s">
        <v>55</v>
      </c>
      <c r="D4" t="s">
        <v>53</v>
      </c>
      <c r="E4" t="s">
        <v>53</v>
      </c>
      <c r="F4" t="s">
        <v>53</v>
      </c>
      <c r="G4" t="s">
        <v>53</v>
      </c>
      <c r="H4" t="s">
        <v>13</v>
      </c>
    </row>
    <row r="6" spans="1:16" x14ac:dyDescent="0.25">
      <c r="C6" s="15"/>
    </row>
    <row r="7" spans="1:16" x14ac:dyDescent="0.25">
      <c r="C7" s="15"/>
    </row>
    <row r="8" spans="1:16" ht="16.5" thickBot="1" x14ac:dyDescent="0.3">
      <c r="C8" s="15"/>
    </row>
    <row r="9" spans="1:16" x14ac:dyDescent="0.25">
      <c r="A9" s="1208" t="s">
        <v>69</v>
      </c>
      <c r="B9" s="1209"/>
      <c r="C9" s="1209"/>
      <c r="D9" s="1210"/>
      <c r="E9" s="6"/>
      <c r="F9" s="6"/>
      <c r="G9" s="1208" t="s">
        <v>68</v>
      </c>
      <c r="H9" s="1209"/>
      <c r="I9" s="1209"/>
      <c r="J9" s="1210"/>
      <c r="M9" s="29"/>
      <c r="N9" s="30"/>
      <c r="O9" s="30"/>
      <c r="P9" s="31"/>
    </row>
    <row r="10" spans="1:16" ht="18.75" x14ac:dyDescent="0.25">
      <c r="A10" s="18"/>
      <c r="B10" s="9" t="s">
        <v>70</v>
      </c>
      <c r="C10" s="16"/>
      <c r="D10" s="10"/>
      <c r="E10" s="6"/>
      <c r="F10" s="6"/>
      <c r="G10" s="18"/>
      <c r="H10" s="9" t="s">
        <v>56</v>
      </c>
      <c r="I10" s="16"/>
      <c r="J10" s="10"/>
      <c r="M10" s="32"/>
      <c r="N10" s="33"/>
      <c r="O10" s="34" t="s">
        <v>75</v>
      </c>
      <c r="P10" s="35"/>
    </row>
    <row r="11" spans="1:16" ht="18.75" x14ac:dyDescent="0.25">
      <c r="A11" s="18"/>
      <c r="B11" s="9"/>
      <c r="C11" s="19" t="s">
        <v>59</v>
      </c>
      <c r="D11" s="20">
        <f>('2-Dati generali-Cond. utilizzo'!$D$19-20)/7</f>
        <v>-2.8571428571428572</v>
      </c>
      <c r="E11" s="6" t="s">
        <v>58</v>
      </c>
      <c r="F11" s="6" t="s">
        <v>57</v>
      </c>
      <c r="G11" s="18"/>
      <c r="H11" s="9"/>
      <c r="I11" s="19" t="s">
        <v>59</v>
      </c>
      <c r="J11" s="20">
        <f>(18-'2-Dati generali-Cond. utilizzo'!$D$17)/7</f>
        <v>2.5714285714285716</v>
      </c>
      <c r="K11" s="25"/>
      <c r="M11" s="36" t="s">
        <v>73</v>
      </c>
      <c r="N11" s="34" t="s">
        <v>74</v>
      </c>
      <c r="O11" s="34"/>
      <c r="P11" s="37" t="s">
        <v>77</v>
      </c>
    </row>
    <row r="12" spans="1:16" ht="19.5" thickBot="1" x14ac:dyDescent="0.3">
      <c r="A12" s="18"/>
      <c r="B12" s="9">
        <v>7</v>
      </c>
      <c r="C12" s="16"/>
      <c r="D12" s="10"/>
      <c r="E12" s="6"/>
      <c r="F12" s="6"/>
      <c r="G12" s="18"/>
      <c r="H12" s="9">
        <v>7</v>
      </c>
      <c r="I12" s="16"/>
      <c r="J12" s="10"/>
      <c r="M12" s="38"/>
      <c r="N12" s="39"/>
      <c r="O12" s="40" t="s">
        <v>76</v>
      </c>
      <c r="P12" s="41"/>
    </row>
    <row r="13" spans="1:16" x14ac:dyDescent="0.25">
      <c r="A13" s="21" t="s">
        <v>66</v>
      </c>
      <c r="B13" s="22">
        <f>'2-Dati generali-Cond. utilizzo'!D19</f>
        <v>0</v>
      </c>
      <c r="C13" s="17">
        <v>1</v>
      </c>
      <c r="D13" s="10"/>
      <c r="E13" s="6"/>
      <c r="F13" s="6"/>
      <c r="G13" s="21" t="s">
        <v>66</v>
      </c>
      <c r="H13" s="22">
        <f>'2-Dati generali-Cond. utilizzo'!D17</f>
        <v>0</v>
      </c>
      <c r="I13" s="17">
        <v>1</v>
      </c>
      <c r="J13" s="10"/>
      <c r="M13" s="28"/>
      <c r="N13" s="28"/>
      <c r="O13" s="28"/>
      <c r="P13" s="28"/>
    </row>
    <row r="14" spans="1:16" x14ac:dyDescent="0.25">
      <c r="A14" s="21" t="s">
        <v>60</v>
      </c>
      <c r="B14" s="22">
        <f>B13-$D$11</f>
        <v>2.8571428571428572</v>
      </c>
      <c r="C14" s="17">
        <v>0.9</v>
      </c>
      <c r="D14" s="10"/>
      <c r="E14" s="6"/>
      <c r="F14" s="6"/>
      <c r="G14" s="21" t="s">
        <v>60</v>
      </c>
      <c r="H14" s="22">
        <f t="shared" ref="H14:H20" si="0">H13+$J$11</f>
        <v>2.5714285714285716</v>
      </c>
      <c r="I14" s="17">
        <v>0.9</v>
      </c>
      <c r="J14" s="10"/>
    </row>
    <row r="15" spans="1:16" x14ac:dyDescent="0.25">
      <c r="A15" s="21" t="s">
        <v>61</v>
      </c>
      <c r="B15" s="22">
        <f t="shared" ref="B15:B20" si="1">B14-$D$11</f>
        <v>5.7142857142857144</v>
      </c>
      <c r="C15" s="17">
        <v>0.8</v>
      </c>
      <c r="D15" s="10"/>
      <c r="E15" s="6"/>
      <c r="F15" s="6"/>
      <c r="G15" s="21" t="s">
        <v>61</v>
      </c>
      <c r="H15" s="22">
        <f t="shared" si="0"/>
        <v>5.1428571428571432</v>
      </c>
      <c r="I15" s="17">
        <v>0.8</v>
      </c>
      <c r="J15" s="10"/>
    </row>
    <row r="16" spans="1:16" x14ac:dyDescent="0.25">
      <c r="A16" s="21" t="s">
        <v>62</v>
      </c>
      <c r="B16" s="22">
        <f t="shared" si="1"/>
        <v>8.5714285714285712</v>
      </c>
      <c r="C16" s="17">
        <v>0.7</v>
      </c>
      <c r="D16" s="10"/>
      <c r="E16" s="6"/>
      <c r="F16" s="6"/>
      <c r="G16" s="21" t="s">
        <v>62</v>
      </c>
      <c r="H16" s="22">
        <f t="shared" si="0"/>
        <v>7.7142857142857153</v>
      </c>
      <c r="I16" s="17">
        <v>0.7</v>
      </c>
      <c r="J16" s="10"/>
    </row>
    <row r="17" spans="1:31" x14ac:dyDescent="0.25">
      <c r="A17" s="21" t="s">
        <v>63</v>
      </c>
      <c r="B17" s="22">
        <f t="shared" si="1"/>
        <v>11.428571428571429</v>
      </c>
      <c r="C17" s="17">
        <v>0.6</v>
      </c>
      <c r="D17" s="10"/>
      <c r="E17" s="5"/>
      <c r="F17" s="6"/>
      <c r="G17" s="21" t="s">
        <v>63</v>
      </c>
      <c r="H17" s="22">
        <f t="shared" si="0"/>
        <v>10.285714285714286</v>
      </c>
      <c r="I17" s="17">
        <v>0.6</v>
      </c>
      <c r="J17" s="10"/>
      <c r="L17">
        <f>((K25-L25)*(K24-H13)/(K24-L24))+K25</f>
        <v>5.798571428571428</v>
      </c>
    </row>
    <row r="18" spans="1:31" x14ac:dyDescent="0.25">
      <c r="A18" s="21" t="s">
        <v>64</v>
      </c>
      <c r="B18" s="22">
        <f t="shared" si="1"/>
        <v>14.285714285714286</v>
      </c>
      <c r="C18" s="17">
        <v>0.5</v>
      </c>
      <c r="D18" s="10"/>
      <c r="E18" s="6"/>
      <c r="F18" s="6"/>
      <c r="G18" s="21" t="s">
        <v>64</v>
      </c>
      <c r="H18" s="22">
        <f t="shared" si="0"/>
        <v>12.857142857142858</v>
      </c>
      <c r="I18" s="17">
        <v>0.5</v>
      </c>
      <c r="J18" s="10"/>
    </row>
    <row r="19" spans="1:31" x14ac:dyDescent="0.25">
      <c r="A19" s="21" t="s">
        <v>65</v>
      </c>
      <c r="B19" s="22">
        <f t="shared" si="1"/>
        <v>17.142857142857142</v>
      </c>
      <c r="C19" s="17">
        <v>0.4</v>
      </c>
      <c r="D19" s="10"/>
      <c r="E19" s="5"/>
      <c r="F19" s="6"/>
      <c r="G19" s="21" t="s">
        <v>65</v>
      </c>
      <c r="H19" s="22">
        <f t="shared" si="0"/>
        <v>15.428571428571429</v>
      </c>
      <c r="I19" s="17">
        <v>0.4</v>
      </c>
      <c r="J19" s="10"/>
    </row>
    <row r="20" spans="1:31" ht="16.5" thickBot="1" x14ac:dyDescent="0.3">
      <c r="A20" s="23" t="s">
        <v>67</v>
      </c>
      <c r="B20" s="24">
        <f t="shared" si="1"/>
        <v>20</v>
      </c>
      <c r="C20" s="14">
        <v>0.3</v>
      </c>
      <c r="D20" s="26"/>
      <c r="E20" s="6"/>
      <c r="F20" s="6"/>
      <c r="G20" s="23" t="s">
        <v>67</v>
      </c>
      <c r="H20" s="24">
        <f t="shared" si="0"/>
        <v>18</v>
      </c>
      <c r="I20" s="14">
        <v>0.3</v>
      </c>
      <c r="J20" s="26"/>
      <c r="L20" s="288"/>
    </row>
    <row r="21" spans="1:31" x14ac:dyDescent="0.25">
      <c r="I21" s="476"/>
    </row>
    <row r="22" spans="1:31" ht="16.5" thickBot="1" x14ac:dyDescent="0.3">
      <c r="A22" s="287" t="s">
        <v>299</v>
      </c>
      <c r="B22" t="s">
        <v>298</v>
      </c>
      <c r="C22" t="s">
        <v>297</v>
      </c>
      <c r="D22" t="s">
        <v>296</v>
      </c>
      <c r="E22" t="s">
        <v>295</v>
      </c>
      <c r="F22" t="s">
        <v>241</v>
      </c>
      <c r="G22" s="287" t="s">
        <v>242</v>
      </c>
      <c r="H22" t="s">
        <v>243</v>
      </c>
      <c r="I22" t="s">
        <v>244</v>
      </c>
      <c r="J22" t="s">
        <v>245</v>
      </c>
      <c r="K22" s="6" t="s">
        <v>246</v>
      </c>
      <c r="L22" s="5" t="s">
        <v>290</v>
      </c>
      <c r="M22" s="5" t="s">
        <v>291</v>
      </c>
      <c r="N22" s="5" t="s">
        <v>292</v>
      </c>
      <c r="O22" s="5" t="s">
        <v>293</v>
      </c>
      <c r="P22" s="5" t="s">
        <v>294</v>
      </c>
    </row>
    <row r="23" spans="1:31" x14ac:dyDescent="0.25">
      <c r="A23" s="224" t="s">
        <v>215</v>
      </c>
      <c r="B23" s="225" t="s">
        <v>217</v>
      </c>
      <c r="C23" s="225" t="s">
        <v>216</v>
      </c>
      <c r="D23" s="226" t="s">
        <v>79</v>
      </c>
      <c r="E23" s="226" t="s">
        <v>69</v>
      </c>
      <c r="F23" s="1202" t="s">
        <v>218</v>
      </c>
      <c r="G23" s="1203"/>
      <c r="H23" s="1203"/>
      <c r="I23" s="1205"/>
      <c r="J23" s="286" t="s">
        <v>68</v>
      </c>
      <c r="K23" s="1202" t="s">
        <v>219</v>
      </c>
      <c r="L23" s="1203"/>
      <c r="M23" s="1203"/>
      <c r="N23" s="1203"/>
      <c r="O23" s="1203"/>
      <c r="P23" s="1205"/>
    </row>
    <row r="24" spans="1:31" ht="16.5" thickBot="1" x14ac:dyDescent="0.3">
      <c r="A24" s="269"/>
      <c r="B24" s="270"/>
      <c r="C24" s="270"/>
      <c r="D24" s="270"/>
      <c r="E24" s="270"/>
      <c r="F24" s="271">
        <v>25</v>
      </c>
      <c r="G24" s="271">
        <v>29</v>
      </c>
      <c r="H24" s="271">
        <v>35</v>
      </c>
      <c r="I24" s="272">
        <v>39</v>
      </c>
      <c r="J24" s="480"/>
      <c r="K24" s="271">
        <v>-10</v>
      </c>
      <c r="L24" s="271">
        <v>-3.7</v>
      </c>
      <c r="M24" s="271">
        <v>2.2000000000000002</v>
      </c>
      <c r="N24" s="271">
        <v>7.9</v>
      </c>
      <c r="O24" s="271">
        <v>11.8</v>
      </c>
      <c r="P24" s="272">
        <v>13.7</v>
      </c>
      <c r="S24" s="9"/>
      <c r="T24" s="9"/>
      <c r="U24" s="9"/>
      <c r="V24" s="9"/>
      <c r="W24" s="9"/>
      <c r="X24" s="9"/>
      <c r="Y24" s="6"/>
      <c r="Z24" s="6"/>
      <c r="AA24" s="6"/>
      <c r="AB24" s="6"/>
      <c r="AC24" s="6"/>
      <c r="AD24" s="6"/>
      <c r="AE24" s="6"/>
    </row>
    <row r="25" spans="1:31" x14ac:dyDescent="0.25">
      <c r="A25" s="229">
        <v>8</v>
      </c>
      <c r="B25" s="230">
        <v>1</v>
      </c>
      <c r="C25" s="230">
        <f>'1-Ore funzionamento'!AF7</f>
        <v>4.2105263157894743E-2</v>
      </c>
      <c r="D25" s="218">
        <v>22.4</v>
      </c>
      <c r="E25" s="261">
        <f t="shared" ref="E25:E30" si="2">IF($B$13&gt;=$I$24,I25,IF(AND($B$13&gt;=$H$24,$B$13&lt;$I$24),I25+(H25-I25)/($H$24-$I$24)*($B$13-$I$24),IF(AND($B$13&gt;=$G$24,$B$13&lt;$H$24),H25+(G25-H25)/($G$24-$H$24)*($B$13-$H$24),IF(AND($B$13&gt;=$F$24,$B$13&lt;$G$24),G25+(F25-G25)/($F$24-$G$24)*($B$13-$G$24),IF($B$13&lt;$F$24,F25,0)))))</f>
        <v>4.01</v>
      </c>
      <c r="F25" s="226">
        <v>4.01</v>
      </c>
      <c r="G25" s="226">
        <v>4.58</v>
      </c>
      <c r="H25" s="226">
        <v>5.56</v>
      </c>
      <c r="I25" s="231">
        <v>5.95</v>
      </c>
      <c r="J25" s="477">
        <f t="shared" ref="J25:J30" si="3">IF($H$13&lt;=$K$24,$K25,IF(AND($H$13&gt;=$K$24,$H$13&lt;=$L$24),$K25-($K25-$L25)/($K$24-$L$24)*($K$24-$H$13),IF(AND($H$13&gt;=$L$24,$H$13&lt;=$M$24),$L25-($L25-$M25)/($L$24-$M$24)*($L$24-$H$13),IF(AND($H$13&gt;=$M$24,$H$13&lt;=$N$24),$M25-($M25-$N25)/($M$24-$N$24)*($M$24-$H$13),IF(AND($H$13&gt;=$N$24,$H$13&lt;=$O$24),$N25-($N25-$O25)/($N$24-$O$24)*($N$24-$H$13),IF(AND($H$13&gt;=$O$24,$H$13&lt;=$P$24),$O25-($O25-$P25)/($O$24-$P$24)*($O$24-$H$13),IF($H$13&gt;=$P$24,$P25)))))))</f>
        <v>6.4916949152542376</v>
      </c>
      <c r="K25" s="226">
        <v>6.37</v>
      </c>
      <c r="L25" s="226">
        <v>6.73</v>
      </c>
      <c r="M25" s="226">
        <v>6.35</v>
      </c>
      <c r="N25" s="226">
        <v>5.86</v>
      </c>
      <c r="O25" s="226">
        <v>5.24</v>
      </c>
      <c r="P25" s="231">
        <v>5.07</v>
      </c>
      <c r="S25" s="9"/>
      <c r="T25" s="9"/>
      <c r="U25" s="9"/>
      <c r="V25" s="9"/>
      <c r="W25" s="9"/>
      <c r="X25" s="6"/>
      <c r="Y25" s="6"/>
      <c r="Z25" s="6"/>
      <c r="AA25" s="6"/>
      <c r="AB25" s="6"/>
      <c r="AC25" s="6"/>
      <c r="AD25" s="6"/>
      <c r="AE25" s="6"/>
    </row>
    <row r="26" spans="1:31" x14ac:dyDescent="0.25">
      <c r="A26" s="232">
        <v>10</v>
      </c>
      <c r="B26" s="222">
        <v>1</v>
      </c>
      <c r="C26" s="222">
        <f>$C$25</f>
        <v>4.2105263157894743E-2</v>
      </c>
      <c r="D26" s="217">
        <v>28</v>
      </c>
      <c r="E26" s="267">
        <f t="shared" si="2"/>
        <v>5.35</v>
      </c>
      <c r="F26" s="221">
        <v>5.35</v>
      </c>
      <c r="G26" s="221">
        <v>6.11</v>
      </c>
      <c r="H26" s="221">
        <v>7.42</v>
      </c>
      <c r="I26" s="233">
        <v>7.94</v>
      </c>
      <c r="J26" s="478">
        <f t="shared" si="3"/>
        <v>8.849152542372881</v>
      </c>
      <c r="K26" s="221">
        <v>8.52</v>
      </c>
      <c r="L26" s="221">
        <v>9.1</v>
      </c>
      <c r="M26" s="221">
        <v>8.6999999999999993</v>
      </c>
      <c r="N26" s="221">
        <v>7.25</v>
      </c>
      <c r="O26" s="221">
        <v>6.44</v>
      </c>
      <c r="P26" s="233">
        <v>6.08</v>
      </c>
      <c r="S26" s="9"/>
      <c r="T26" s="9"/>
      <c r="U26" s="9"/>
      <c r="V26" s="9"/>
      <c r="W26" s="9"/>
      <c r="X26" s="6"/>
      <c r="Y26" s="6"/>
      <c r="Z26" s="6"/>
      <c r="AA26" s="6"/>
      <c r="AB26" s="6"/>
      <c r="AC26" s="6"/>
      <c r="AD26" s="6"/>
      <c r="AE26" s="6"/>
    </row>
    <row r="27" spans="1:31" x14ac:dyDescent="0.25">
      <c r="A27" s="232">
        <v>12</v>
      </c>
      <c r="B27" s="222">
        <v>1</v>
      </c>
      <c r="C27" s="222">
        <f>$C$25</f>
        <v>4.2105263157894743E-2</v>
      </c>
      <c r="D27" s="217">
        <v>33.5</v>
      </c>
      <c r="E27" s="267">
        <f t="shared" si="2"/>
        <v>6.93</v>
      </c>
      <c r="F27" s="223">
        <v>6.93</v>
      </c>
      <c r="G27" s="223">
        <v>7.92</v>
      </c>
      <c r="H27" s="223">
        <v>9.6199999999999992</v>
      </c>
      <c r="I27" s="234">
        <v>10.3</v>
      </c>
      <c r="J27" s="478">
        <f t="shared" si="3"/>
        <v>8.8937288135593207</v>
      </c>
      <c r="K27" s="223">
        <v>7.84</v>
      </c>
      <c r="L27" s="223">
        <v>8.5299999999999994</v>
      </c>
      <c r="M27" s="223">
        <v>9.11</v>
      </c>
      <c r="N27" s="223">
        <v>8.89</v>
      </c>
      <c r="O27" s="223">
        <v>7.88</v>
      </c>
      <c r="P27" s="234">
        <v>7.44</v>
      </c>
      <c r="S27" s="4"/>
      <c r="T27" s="4"/>
      <c r="U27" s="4"/>
      <c r="V27" s="4"/>
      <c r="W27" s="4"/>
      <c r="X27" s="6"/>
      <c r="Y27" s="6"/>
      <c r="Z27" s="6"/>
      <c r="AA27" s="6"/>
      <c r="AB27" s="6"/>
      <c r="AC27" s="6"/>
      <c r="AD27" s="6"/>
      <c r="AE27" s="6"/>
    </row>
    <row r="28" spans="1:31" x14ac:dyDescent="0.25">
      <c r="A28" s="232">
        <v>16</v>
      </c>
      <c r="B28" s="222">
        <v>1</v>
      </c>
      <c r="C28" s="222">
        <f>$C$25</f>
        <v>4.2105263157894743E-2</v>
      </c>
      <c r="D28" s="217">
        <v>45</v>
      </c>
      <c r="E28" s="267">
        <f t="shared" si="2"/>
        <v>10.199999999999999</v>
      </c>
      <c r="F28" s="223">
        <v>10.199999999999999</v>
      </c>
      <c r="G28" s="223">
        <v>11.7</v>
      </c>
      <c r="H28" s="223">
        <v>14.2</v>
      </c>
      <c r="I28" s="234">
        <v>15.2</v>
      </c>
      <c r="J28" s="478">
        <f t="shared" si="3"/>
        <v>14.276271186440677</v>
      </c>
      <c r="K28" s="223">
        <v>13</v>
      </c>
      <c r="L28" s="223">
        <v>13.9</v>
      </c>
      <c r="M28" s="223">
        <v>14.5</v>
      </c>
      <c r="N28" s="223">
        <v>12.2</v>
      </c>
      <c r="O28" s="223">
        <v>10.8</v>
      </c>
      <c r="P28" s="234">
        <v>10.199999999999999</v>
      </c>
      <c r="S28" s="4"/>
      <c r="T28" s="4"/>
      <c r="U28" s="4"/>
      <c r="V28" s="4"/>
      <c r="W28" s="4"/>
      <c r="X28" s="6"/>
      <c r="Y28" s="6"/>
      <c r="Z28" s="6"/>
      <c r="AA28" s="6"/>
      <c r="AB28" s="6"/>
      <c r="AC28" s="6"/>
      <c r="AD28" s="6"/>
      <c r="AE28" s="6"/>
    </row>
    <row r="29" spans="1:31" x14ac:dyDescent="0.25">
      <c r="A29" s="232">
        <v>20</v>
      </c>
      <c r="B29" s="222">
        <v>1</v>
      </c>
      <c r="C29" s="222">
        <f>$C$25</f>
        <v>4.2105263157894743E-2</v>
      </c>
      <c r="D29" s="217">
        <v>55.9</v>
      </c>
      <c r="E29" s="267">
        <f t="shared" si="2"/>
        <v>11</v>
      </c>
      <c r="F29" s="223">
        <v>11</v>
      </c>
      <c r="G29" s="223">
        <v>12.5</v>
      </c>
      <c r="H29" s="223">
        <v>15.2</v>
      </c>
      <c r="I29" s="234">
        <v>16.3</v>
      </c>
      <c r="J29" s="478">
        <f t="shared" si="3"/>
        <v>15.801694915254238</v>
      </c>
      <c r="K29" s="223">
        <v>14.2</v>
      </c>
      <c r="L29" s="223">
        <v>15.3</v>
      </c>
      <c r="M29" s="223">
        <v>16.100000000000001</v>
      </c>
      <c r="N29" s="223">
        <v>14.5</v>
      </c>
      <c r="O29" s="223">
        <v>13.1</v>
      </c>
      <c r="P29" s="234">
        <v>12.5</v>
      </c>
      <c r="S29" s="4"/>
      <c r="T29" s="4"/>
      <c r="U29" s="4"/>
      <c r="V29" s="4"/>
      <c r="W29" s="4"/>
      <c r="X29" s="6"/>
      <c r="Y29" s="6"/>
      <c r="Z29" s="6"/>
      <c r="AA29" s="6"/>
      <c r="AB29" s="6"/>
      <c r="AC29" s="6"/>
      <c r="AD29" s="6"/>
      <c r="AE29" s="6"/>
    </row>
    <row r="30" spans="1:31" ht="16.5" thickBot="1" x14ac:dyDescent="0.3">
      <c r="A30" s="235">
        <v>26</v>
      </c>
      <c r="B30" s="236">
        <v>1</v>
      </c>
      <c r="C30" s="236">
        <f>$C$25</f>
        <v>4.2105263157894743E-2</v>
      </c>
      <c r="D30" s="219">
        <v>71.400000000000006</v>
      </c>
      <c r="E30" s="268">
        <f t="shared" si="2"/>
        <v>15.7</v>
      </c>
      <c r="F30" s="237">
        <v>15.7</v>
      </c>
      <c r="G30" s="237">
        <v>17.899999999999999</v>
      </c>
      <c r="H30" s="237">
        <v>21.8</v>
      </c>
      <c r="I30" s="238">
        <v>23.3</v>
      </c>
      <c r="J30" s="342">
        <f t="shared" si="3"/>
        <v>21.489830508474576</v>
      </c>
      <c r="K30" s="237">
        <v>19.399999999999999</v>
      </c>
      <c r="L30" s="237">
        <v>20.8</v>
      </c>
      <c r="M30" s="237">
        <v>21.9</v>
      </c>
      <c r="N30" s="237">
        <v>20.100000000000001</v>
      </c>
      <c r="O30" s="237">
        <v>18.100000000000001</v>
      </c>
      <c r="P30" s="238">
        <v>17.3</v>
      </c>
      <c r="S30" s="4"/>
      <c r="T30" s="4"/>
      <c r="U30" s="4"/>
      <c r="V30" s="4"/>
      <c r="W30" s="4"/>
      <c r="X30" s="6"/>
      <c r="Y30" s="6"/>
      <c r="Z30" s="6"/>
      <c r="AA30" s="6"/>
      <c r="AB30" s="6"/>
      <c r="AC30" s="6"/>
      <c r="AD30" s="6"/>
      <c r="AE30" s="6"/>
    </row>
    <row r="31" spans="1:31" x14ac:dyDescent="0.25">
      <c r="A31" s="229">
        <v>8</v>
      </c>
      <c r="B31" s="230">
        <v>0.9</v>
      </c>
      <c r="C31" s="230">
        <f>'1-Ore funzionamento'!AF8</f>
        <v>9.4736842105263161E-2</v>
      </c>
      <c r="D31" s="218">
        <f t="shared" ref="D31:D36" si="4">D25*0.9</f>
        <v>20.16</v>
      </c>
      <c r="E31" s="218">
        <f t="shared" ref="E31:E36" si="5">IF($B$14&gt;=$I$24,I31,IF(AND($B$14&gt;=$H$24,$B$14&lt;$I$24),I31+(H31-I31)/($H$24-$I$24)*($B$14-$I$24),IF(AND($B$14&gt;=$G$24,$B$14&lt;$H$24),H31+(G31-H31)/($G$24-$H$24)*($B$14-$H$24),IF(AND($B$14&gt;=$F$24,$B$14&lt;$G$24),G31+(F31-G31)/($F$24-$G$24)*($B$14-$G$24),IF($B$14&lt;$F$24,F31,0)))))</f>
        <v>3.44</v>
      </c>
      <c r="F31" s="226">
        <v>3.44</v>
      </c>
      <c r="G31" s="226">
        <v>3.92</v>
      </c>
      <c r="H31" s="226">
        <v>4.75</v>
      </c>
      <c r="I31" s="231">
        <v>5.39</v>
      </c>
      <c r="J31" s="477">
        <f t="shared" ref="J31:J36" si="6">IF($H$14&lt;=$K$24,$K31,IF(AND($H$14&gt;=$K$24,$H$14&lt;=$L$24),$K31-($K31-$L31)/($K$24-$L$24)*($K$24-$H$14),IF(AND($H$14&gt;=$L$24,$H$14&lt;=$M$24),$L31-($L31-$M31)/($L$24-$M$24)*($L$24-$H$14),IF(AND($H$14&gt;=$M$24,$H$14&lt;=$N$24),$M31-($M31-$N31)/($M$24-$N$24)*($M$24-$H$14),IF(AND($H$14&gt;=$N$24,$H$14&lt;=$O$24),$N31-($N31-$O31)/($N$24-$O$24)*($N$24-$H$14),IF(AND($H$14&gt;=$O$24,$H$14&lt;=$P$24),$O31-($O31-$P31)/($O$24-$P$24)*($O$24-$H$14),IF($H$14&gt;=$P$24,$P31)))))))</f>
        <v>5.5602506265664156</v>
      </c>
      <c r="K31" s="226">
        <v>6.63</v>
      </c>
      <c r="L31" s="226">
        <v>6.42</v>
      </c>
      <c r="M31" s="226">
        <v>5.6</v>
      </c>
      <c r="N31" s="226">
        <v>4.99</v>
      </c>
      <c r="O31" s="226">
        <v>4.6500000000000004</v>
      </c>
      <c r="P31" s="231">
        <v>4.5</v>
      </c>
      <c r="S31" s="9"/>
      <c r="T31" s="9"/>
      <c r="U31" s="9"/>
      <c r="V31" s="9"/>
      <c r="W31" s="9"/>
      <c r="X31" s="6"/>
      <c r="Y31" s="6"/>
      <c r="Z31" s="6"/>
      <c r="AA31" s="6"/>
      <c r="AB31" s="6"/>
      <c r="AC31" s="6"/>
      <c r="AD31" s="6"/>
      <c r="AE31" s="6"/>
    </row>
    <row r="32" spans="1:31" x14ac:dyDescent="0.25">
      <c r="A32" s="232">
        <v>10</v>
      </c>
      <c r="B32" s="222">
        <v>0.9</v>
      </c>
      <c r="C32" s="222">
        <f>$C$31</f>
        <v>9.4736842105263161E-2</v>
      </c>
      <c r="D32" s="217">
        <f t="shared" si="4"/>
        <v>25.2</v>
      </c>
      <c r="E32" s="217">
        <f t="shared" si="5"/>
        <v>4.59</v>
      </c>
      <c r="F32" s="221">
        <v>4.59</v>
      </c>
      <c r="G32" s="221">
        <v>5.23</v>
      </c>
      <c r="H32" s="221">
        <v>6.34</v>
      </c>
      <c r="I32" s="233">
        <v>7.19</v>
      </c>
      <c r="J32" s="478">
        <f t="shared" si="6"/>
        <v>7.5785463659147867</v>
      </c>
      <c r="K32" s="221">
        <v>8.89</v>
      </c>
      <c r="L32" s="221">
        <v>9.27</v>
      </c>
      <c r="M32" s="221">
        <v>7.66</v>
      </c>
      <c r="N32" s="221">
        <v>6.41</v>
      </c>
      <c r="O32" s="221">
        <v>5.71</v>
      </c>
      <c r="P32" s="233">
        <v>5.41</v>
      </c>
      <c r="S32" s="9"/>
      <c r="T32" s="9"/>
      <c r="U32" s="9"/>
      <c r="V32" s="9"/>
      <c r="W32" s="9"/>
      <c r="X32" s="6"/>
      <c r="Y32" s="6"/>
      <c r="Z32" s="6"/>
      <c r="AA32" s="6"/>
      <c r="AB32" s="6"/>
      <c r="AC32" s="6"/>
      <c r="AD32" s="6"/>
      <c r="AE32" s="6"/>
    </row>
    <row r="33" spans="1:31" x14ac:dyDescent="0.25">
      <c r="A33" s="232">
        <v>12</v>
      </c>
      <c r="B33" s="222">
        <v>0.9</v>
      </c>
      <c r="C33" s="222">
        <f>$C$31</f>
        <v>9.4736842105263161E-2</v>
      </c>
      <c r="D33" s="217">
        <f t="shared" si="4"/>
        <v>30.150000000000002</v>
      </c>
      <c r="E33" s="217">
        <f t="shared" si="5"/>
        <v>5.95</v>
      </c>
      <c r="F33" s="223">
        <v>5.95</v>
      </c>
      <c r="G33" s="223">
        <v>6.78</v>
      </c>
      <c r="H33" s="223">
        <v>8.2200000000000006</v>
      </c>
      <c r="I33" s="234">
        <v>9.32</v>
      </c>
      <c r="J33" s="478">
        <f t="shared" si="6"/>
        <v>9.2996491228070184</v>
      </c>
      <c r="K33" s="223">
        <v>8.3000000000000007</v>
      </c>
      <c r="L33" s="223">
        <v>8.92</v>
      </c>
      <c r="M33" s="223">
        <v>9.4</v>
      </c>
      <c r="N33" s="223">
        <v>7.86</v>
      </c>
      <c r="O33" s="223">
        <v>6.99</v>
      </c>
      <c r="P33" s="234">
        <v>6.61</v>
      </c>
      <c r="S33" s="4"/>
      <c r="T33" s="4"/>
      <c r="U33" s="4"/>
      <c r="V33" s="4"/>
      <c r="W33" s="4"/>
      <c r="X33" s="6"/>
      <c r="Y33" s="6"/>
      <c r="Z33" s="6"/>
      <c r="AA33" s="6"/>
      <c r="AB33" s="6"/>
      <c r="AC33" s="6"/>
      <c r="AD33" s="6"/>
      <c r="AE33" s="6"/>
    </row>
    <row r="34" spans="1:31" x14ac:dyDescent="0.25">
      <c r="A34" s="232">
        <v>16</v>
      </c>
      <c r="B34" s="222">
        <v>0.9</v>
      </c>
      <c r="C34" s="222">
        <f>$C$31</f>
        <v>9.4736842105263161E-2</v>
      </c>
      <c r="D34" s="217">
        <f t="shared" si="4"/>
        <v>40.5</v>
      </c>
      <c r="E34" s="217">
        <f t="shared" si="5"/>
        <v>8.7799999999999994</v>
      </c>
      <c r="F34" s="223">
        <v>8.7799999999999994</v>
      </c>
      <c r="G34" s="223">
        <v>10</v>
      </c>
      <c r="H34" s="223">
        <v>12.1</v>
      </c>
      <c r="I34" s="234">
        <v>13.8</v>
      </c>
      <c r="J34" s="478">
        <f t="shared" si="6"/>
        <v>12.669674185463659</v>
      </c>
      <c r="K34" s="223">
        <v>13.6</v>
      </c>
      <c r="L34" s="223">
        <v>14.4</v>
      </c>
      <c r="M34" s="223">
        <v>12.8</v>
      </c>
      <c r="N34" s="223">
        <v>10.8</v>
      </c>
      <c r="O34" s="223">
        <v>9.6</v>
      </c>
      <c r="P34" s="234">
        <v>9.1</v>
      </c>
      <c r="S34" s="4"/>
      <c r="T34" s="4"/>
      <c r="U34" s="4"/>
      <c r="V34" s="4"/>
      <c r="W34" s="4"/>
      <c r="X34" s="6"/>
      <c r="Y34" s="6"/>
      <c r="Z34" s="6"/>
      <c r="AA34" s="6"/>
      <c r="AB34" s="6"/>
      <c r="AC34" s="6"/>
      <c r="AD34" s="6"/>
      <c r="AE34" s="6"/>
    </row>
    <row r="35" spans="1:31" x14ac:dyDescent="0.25">
      <c r="A35" s="232">
        <v>20</v>
      </c>
      <c r="B35" s="222">
        <v>0.9</v>
      </c>
      <c r="C35" s="222">
        <f>$C$31</f>
        <v>9.4736842105263161E-2</v>
      </c>
      <c r="D35" s="217">
        <f t="shared" si="4"/>
        <v>50.31</v>
      </c>
      <c r="E35" s="217">
        <f t="shared" si="5"/>
        <v>9.4</v>
      </c>
      <c r="F35" s="223">
        <v>9.4</v>
      </c>
      <c r="G35" s="223">
        <v>10.7</v>
      </c>
      <c r="H35" s="223">
        <v>13</v>
      </c>
      <c r="I35" s="234">
        <v>14.7</v>
      </c>
      <c r="J35" s="478">
        <f t="shared" si="6"/>
        <v>14.863157894736842</v>
      </c>
      <c r="K35" s="223">
        <v>15</v>
      </c>
      <c r="L35" s="223">
        <v>15.9</v>
      </c>
      <c r="M35" s="223">
        <v>15</v>
      </c>
      <c r="N35" s="223">
        <v>12.9</v>
      </c>
      <c r="O35" s="223">
        <v>11.6</v>
      </c>
      <c r="P35" s="234">
        <v>11.1</v>
      </c>
      <c r="S35" s="9"/>
      <c r="T35" s="9"/>
      <c r="U35" s="4"/>
      <c r="V35" s="4"/>
      <c r="W35" s="4"/>
      <c r="X35" s="6"/>
      <c r="Y35" s="6"/>
      <c r="Z35" s="6"/>
      <c r="AA35" s="6"/>
      <c r="AB35" s="6"/>
      <c r="AC35" s="6"/>
      <c r="AD35" s="6"/>
      <c r="AE35" s="6"/>
    </row>
    <row r="36" spans="1:31" ht="16.5" thickBot="1" x14ac:dyDescent="0.3">
      <c r="A36" s="235">
        <v>26</v>
      </c>
      <c r="B36" s="236">
        <v>0.9</v>
      </c>
      <c r="C36" s="236">
        <f>$C$31</f>
        <v>9.4736842105263161E-2</v>
      </c>
      <c r="D36" s="219">
        <f t="shared" si="4"/>
        <v>64.260000000000005</v>
      </c>
      <c r="E36" s="219">
        <f t="shared" si="5"/>
        <v>13.5</v>
      </c>
      <c r="F36" s="237">
        <v>13.5</v>
      </c>
      <c r="G36" s="237">
        <v>15.3</v>
      </c>
      <c r="H36" s="237">
        <v>18.600000000000001</v>
      </c>
      <c r="I36" s="238">
        <v>21.1</v>
      </c>
      <c r="J36" s="479">
        <f t="shared" si="6"/>
        <v>20.604511278195488</v>
      </c>
      <c r="K36" s="237">
        <v>20.399999999999999</v>
      </c>
      <c r="L36" s="237">
        <v>21.6</v>
      </c>
      <c r="M36" s="237">
        <v>20.8</v>
      </c>
      <c r="N36" s="237">
        <v>17.8</v>
      </c>
      <c r="O36" s="237">
        <v>16.100000000000001</v>
      </c>
      <c r="P36" s="238">
        <v>15.3</v>
      </c>
      <c r="S36" s="4"/>
      <c r="T36" s="4"/>
      <c r="U36" s="4"/>
      <c r="V36" s="4"/>
      <c r="W36" s="4"/>
      <c r="X36" s="6"/>
      <c r="Y36" s="6"/>
      <c r="Z36" s="6"/>
      <c r="AA36" s="6"/>
      <c r="AB36" s="6"/>
      <c r="AC36" s="6"/>
      <c r="AD36" s="6"/>
      <c r="AE36" s="6"/>
    </row>
    <row r="37" spans="1:31" x14ac:dyDescent="0.25">
      <c r="A37" s="229">
        <v>8</v>
      </c>
      <c r="B37" s="230">
        <v>0.8</v>
      </c>
      <c r="C37" s="230">
        <f>'1-Ore funzionamento'!AF9</f>
        <v>0.15789473684210525</v>
      </c>
      <c r="D37" s="218">
        <f t="shared" ref="D37:D42" si="7">D25*0.8</f>
        <v>17.919999999999998</v>
      </c>
      <c r="E37" s="218">
        <f t="shared" ref="E37:E42" si="8">IF($B$15&gt;=$I$24,I37,IF(AND($B$15&gt;=$H$24,$B$15&lt;$I$24),I37+(H37-I37)/($H$24-$I$24)*($B$15-$I$24),IF(AND($B$15&gt;=$G$24,$B$15&lt;$H$24),H37+(G37-H37)/($G$24-$H$24)*($B$15-$H$24),IF(AND($B$15&gt;=$F$24,$B$15&lt;$G$24),G37+(F37-G37)/($F$24-$G$24)*($B$15-$G$24),IF($B$15&lt;$F$24,F37,0)))))</f>
        <v>2.91</v>
      </c>
      <c r="F37" s="226">
        <v>2.91</v>
      </c>
      <c r="G37" s="226">
        <v>3.32</v>
      </c>
      <c r="H37" s="226">
        <v>4.01</v>
      </c>
      <c r="I37" s="231">
        <v>4.53</v>
      </c>
      <c r="J37" s="341">
        <f t="shared" ref="J37:J42" si="9">IF($H$15&lt;=$K$24,$K37,IF(AND($H$15&gt;=$K$24,$H$15&lt;=$L$24),$K37-($K37-$L37)/($K$24-$L$24)*($K$24-$H$15),IF(AND($H$15&gt;=$L$24,$H$15&lt;=$M$24),$L37-($L37-$M37)/($L$24-$M$24)*($L$24-$H$15),IF(AND($H$15&gt;=$M$24,$H$15&lt;=$N$24),$M37-($M37-$N37)/($M$24-$N$24)*($M$24-$H$15),IF(AND($H$15&gt;=$N$24,$H$15&lt;=$O$24),$N37-($N37-$O37)/($N$24-$O$24)*($N$24-$H$15),IF(AND($H$15&gt;=$O$24,$H$15&lt;=$P$24),$O37-($O37-$P37)/($O$24-$P$24)*($O$24-$H$15),IF($H$15&gt;=$P$24,$P37)))))))</f>
        <v>4.6115288220551376</v>
      </c>
      <c r="K37" s="226">
        <v>6.59</v>
      </c>
      <c r="L37" s="226">
        <v>5.57</v>
      </c>
      <c r="M37" s="226">
        <v>4.88</v>
      </c>
      <c r="N37" s="226">
        <v>4.3600000000000003</v>
      </c>
      <c r="O37" s="226">
        <v>4.07</v>
      </c>
      <c r="P37" s="231">
        <v>3.95</v>
      </c>
      <c r="S37" s="9"/>
      <c r="T37" s="9"/>
      <c r="U37" s="9"/>
      <c r="V37" s="9"/>
      <c r="W37" s="9"/>
      <c r="X37" s="6"/>
      <c r="Y37" s="6"/>
      <c r="Z37" s="6"/>
      <c r="AA37" s="6"/>
      <c r="AB37" s="6"/>
      <c r="AC37" s="6"/>
      <c r="AD37" s="6"/>
      <c r="AE37" s="6"/>
    </row>
    <row r="38" spans="1:31" x14ac:dyDescent="0.25">
      <c r="A38" s="232">
        <v>10</v>
      </c>
      <c r="B38" s="222">
        <v>0.8</v>
      </c>
      <c r="C38" s="222">
        <f>$C$37</f>
        <v>0.15789473684210525</v>
      </c>
      <c r="D38" s="217">
        <f t="shared" si="7"/>
        <v>22.400000000000002</v>
      </c>
      <c r="E38" s="217">
        <f t="shared" si="8"/>
        <v>3.89</v>
      </c>
      <c r="F38" s="221">
        <v>3.89</v>
      </c>
      <c r="G38" s="221">
        <v>4.42</v>
      </c>
      <c r="H38" s="221">
        <v>5.34</v>
      </c>
      <c r="I38" s="233">
        <v>6.05</v>
      </c>
      <c r="J38" s="478">
        <f t="shared" si="9"/>
        <v>6.1227318295739348</v>
      </c>
      <c r="K38" s="221">
        <v>9.26</v>
      </c>
      <c r="L38" s="221">
        <v>8.02</v>
      </c>
      <c r="M38" s="221">
        <v>6.67</v>
      </c>
      <c r="N38" s="221">
        <v>5.61</v>
      </c>
      <c r="O38" s="221">
        <v>5.0199999999999996</v>
      </c>
      <c r="P38" s="233">
        <v>4.76</v>
      </c>
      <c r="S38" s="9"/>
      <c r="T38" s="9"/>
      <c r="U38" s="9"/>
      <c r="V38" s="9"/>
      <c r="W38" s="9"/>
      <c r="X38" s="6"/>
      <c r="Y38" s="6"/>
      <c r="Z38" s="6"/>
      <c r="AA38" s="6"/>
      <c r="AB38" s="6"/>
      <c r="AC38" s="6"/>
      <c r="AD38" s="6"/>
      <c r="AE38" s="6"/>
    </row>
    <row r="39" spans="1:31" x14ac:dyDescent="0.25">
      <c r="A39" s="232">
        <v>12</v>
      </c>
      <c r="B39" s="222">
        <v>0.8</v>
      </c>
      <c r="C39" s="222">
        <f>$C$37</f>
        <v>0.15789473684210525</v>
      </c>
      <c r="D39" s="217">
        <f t="shared" si="7"/>
        <v>26.8</v>
      </c>
      <c r="E39" s="217">
        <f t="shared" si="8"/>
        <v>5.04</v>
      </c>
      <c r="F39" s="223">
        <v>5.04</v>
      </c>
      <c r="G39" s="223">
        <v>5.74</v>
      </c>
      <c r="H39" s="223">
        <v>6.93</v>
      </c>
      <c r="I39" s="234">
        <v>7.84</v>
      </c>
      <c r="J39" s="478">
        <f t="shared" si="9"/>
        <v>7.5136591478696735</v>
      </c>
      <c r="K39" s="223">
        <v>8.76</v>
      </c>
      <c r="L39" s="223">
        <v>9.31</v>
      </c>
      <c r="M39" s="223">
        <v>8.19</v>
      </c>
      <c r="N39" s="223">
        <v>6.88</v>
      </c>
      <c r="O39" s="223">
        <v>6.14</v>
      </c>
      <c r="P39" s="234">
        <v>5.82</v>
      </c>
      <c r="S39" s="4"/>
      <c r="T39" s="4"/>
      <c r="U39" s="4"/>
      <c r="V39" s="4"/>
      <c r="W39" s="4"/>
      <c r="X39" s="6"/>
      <c r="Y39" s="6"/>
      <c r="Z39" s="6"/>
      <c r="AA39" s="6"/>
      <c r="AB39" s="6"/>
      <c r="AC39" s="6"/>
      <c r="AD39" s="6"/>
      <c r="AE39" s="6"/>
    </row>
    <row r="40" spans="1:31" x14ac:dyDescent="0.25">
      <c r="A40" s="232">
        <v>16</v>
      </c>
      <c r="B40" s="222">
        <v>0.8</v>
      </c>
      <c r="C40" s="222">
        <f>$C$37</f>
        <v>0.15789473684210525</v>
      </c>
      <c r="D40" s="217">
        <f t="shared" si="7"/>
        <v>36</v>
      </c>
      <c r="E40" s="217">
        <f t="shared" si="8"/>
        <v>7.44</v>
      </c>
      <c r="F40" s="223">
        <v>7.44</v>
      </c>
      <c r="G40" s="223">
        <v>8.4700000000000006</v>
      </c>
      <c r="H40" s="223">
        <v>10.199999999999999</v>
      </c>
      <c r="I40" s="234">
        <v>11.6</v>
      </c>
      <c r="J40" s="478">
        <f t="shared" si="9"/>
        <v>10.281002506265663</v>
      </c>
      <c r="K40" s="223">
        <v>14.2</v>
      </c>
      <c r="L40" s="223">
        <v>13.4</v>
      </c>
      <c r="M40" s="223">
        <v>11.2</v>
      </c>
      <c r="N40" s="223">
        <v>9.42</v>
      </c>
      <c r="O40" s="223">
        <v>8.43</v>
      </c>
      <c r="P40" s="234">
        <v>8</v>
      </c>
      <c r="S40" s="4"/>
      <c r="T40" s="4"/>
      <c r="U40" s="4"/>
      <c r="V40" s="4"/>
      <c r="W40" s="4"/>
      <c r="X40" s="6"/>
      <c r="Y40" s="6"/>
      <c r="Z40" s="6"/>
      <c r="AA40" s="6"/>
      <c r="AB40" s="6"/>
      <c r="AC40" s="6"/>
      <c r="AD40" s="6"/>
      <c r="AE40" s="6"/>
    </row>
    <row r="41" spans="1:31" x14ac:dyDescent="0.25">
      <c r="A41" s="232">
        <v>20</v>
      </c>
      <c r="B41" s="222">
        <v>0.8</v>
      </c>
      <c r="C41" s="222">
        <f>$C$37</f>
        <v>0.15789473684210525</v>
      </c>
      <c r="D41" s="217">
        <f t="shared" si="7"/>
        <v>44.72</v>
      </c>
      <c r="E41" s="217">
        <f t="shared" si="8"/>
        <v>7.96</v>
      </c>
      <c r="F41" s="223">
        <v>7.96</v>
      </c>
      <c r="G41" s="223">
        <v>9.06</v>
      </c>
      <c r="H41" s="223">
        <v>10.9</v>
      </c>
      <c r="I41" s="234">
        <v>12.4</v>
      </c>
      <c r="J41" s="478">
        <f t="shared" si="9"/>
        <v>12.070676691729323</v>
      </c>
      <c r="K41" s="223">
        <v>15.7</v>
      </c>
      <c r="L41" s="223">
        <v>15.4</v>
      </c>
      <c r="M41" s="223">
        <v>13</v>
      </c>
      <c r="N41" s="223">
        <v>11.2</v>
      </c>
      <c r="O41" s="223">
        <v>10.199999999999999</v>
      </c>
      <c r="P41" s="234">
        <v>9.8000000000000007</v>
      </c>
      <c r="S41" s="4"/>
      <c r="T41" s="4"/>
      <c r="U41" s="4"/>
      <c r="V41" s="4"/>
      <c r="W41" s="4"/>
      <c r="X41" s="6"/>
      <c r="Y41" s="6"/>
      <c r="Z41" s="6"/>
      <c r="AA41" s="6"/>
      <c r="AB41" s="6"/>
      <c r="AC41" s="6"/>
      <c r="AD41" s="6"/>
      <c r="AE41" s="6"/>
    </row>
    <row r="42" spans="1:31" ht="16.5" thickBot="1" x14ac:dyDescent="0.3">
      <c r="A42" s="235">
        <v>26</v>
      </c>
      <c r="B42" s="236">
        <v>0.8</v>
      </c>
      <c r="C42" s="236">
        <f>$C$37</f>
        <v>0.15789473684210525</v>
      </c>
      <c r="D42" s="219">
        <f t="shared" si="7"/>
        <v>57.120000000000005</v>
      </c>
      <c r="E42" s="219">
        <f t="shared" si="8"/>
        <v>11.4</v>
      </c>
      <c r="F42" s="237">
        <v>11.4</v>
      </c>
      <c r="G42" s="237">
        <v>13</v>
      </c>
      <c r="H42" s="237">
        <v>15.7</v>
      </c>
      <c r="I42" s="238">
        <v>17.7</v>
      </c>
      <c r="J42" s="479">
        <f t="shared" si="9"/>
        <v>16.809273182957394</v>
      </c>
      <c r="K42" s="237">
        <v>21.4</v>
      </c>
      <c r="L42" s="237">
        <v>21.4</v>
      </c>
      <c r="M42" s="237">
        <v>18.100000000000001</v>
      </c>
      <c r="N42" s="237">
        <v>15.6</v>
      </c>
      <c r="O42" s="237">
        <v>14.1</v>
      </c>
      <c r="P42" s="238">
        <v>13.5</v>
      </c>
      <c r="S42" s="4"/>
      <c r="T42" s="4"/>
      <c r="U42" s="4"/>
      <c r="V42" s="4"/>
      <c r="W42" s="4"/>
      <c r="X42" s="6"/>
      <c r="Y42" s="6"/>
      <c r="Z42" s="6"/>
      <c r="AA42" s="6"/>
      <c r="AB42" s="6"/>
      <c r="AC42" s="6"/>
      <c r="AD42" s="6"/>
      <c r="AE42" s="6"/>
    </row>
    <row r="43" spans="1:31" x14ac:dyDescent="0.25">
      <c r="A43" s="229">
        <v>8</v>
      </c>
      <c r="B43" s="230">
        <v>0.7</v>
      </c>
      <c r="C43" s="230">
        <f>'1-Ore funzionamento'!AF10</f>
        <v>0.2</v>
      </c>
      <c r="D43" s="218">
        <f t="shared" ref="D43:D48" si="10">D25*0.7</f>
        <v>15.679999999999998</v>
      </c>
      <c r="E43" s="218">
        <f t="shared" ref="E43:E48" si="11">IF($B$16&gt;=$I$24,I43,IF(AND($B$16&gt;=$H$24,$B$16&lt;$I$24),I43+(H43-I43)/($H$24-$I$24)*($B$16-$I$24),IF(AND($B$16&gt;=$G$24,$B$16&lt;$H$24),H43+(G43-H43)/($G$24-$H$24)*($B$16-$H$24),IF(AND($B$16&gt;=$F$24,$B$16&lt;$G$24),G43+(F43-G43)/($F$24-$G$24)*($B$16-$G$24),IF($B$16&lt;$F$24,F43,0)))))</f>
        <v>2.4300000000000002</v>
      </c>
      <c r="F43" s="226">
        <v>2.4300000000000002</v>
      </c>
      <c r="G43" s="226">
        <v>2.76</v>
      </c>
      <c r="H43" s="226">
        <v>3.33</v>
      </c>
      <c r="I43" s="231">
        <v>3.75</v>
      </c>
      <c r="J43" s="341">
        <f t="shared" ref="J43:J48" si="12">IF($H$16&lt;=$K$24,$K43,IF(AND($H$16&gt;=$K$24,$H$16&lt;=$L$24),$K43-($K43-$L43)/($K$24-$L$24)*($K$24-$H$16),IF(AND($H$16&gt;=$L$24,$H$16&lt;=$M$24),$L43-($L43-$M43)/($L$24-$M$24)*($L$24-$H$16),IF(AND($H$16&gt;=$M$24,$H$16&lt;=$N$24),$M43-($M43-$N43)/($M$24-$N$24)*($M$24-$H$16),IF(AND($H$16&gt;=$N$24,$H$16&lt;=$O$24),$N43-($N43-$O43)/($N$24-$O$24)*($N$24-$H$16),IF(AND($H$16&gt;=$O$24,$H$16&lt;=$P$24),$O43-($O43-$P43)/($O$24-$P$24)*($O$24-$H$16),IF($H$16&gt;=$P$24,$P43)))))))</f>
        <v>3.7840100250626567</v>
      </c>
      <c r="K43" s="226">
        <v>5.61</v>
      </c>
      <c r="L43" s="226">
        <v>4.7699999999999996</v>
      </c>
      <c r="M43" s="226">
        <v>4.2</v>
      </c>
      <c r="N43" s="226">
        <v>3.77</v>
      </c>
      <c r="O43" s="226">
        <v>3.52</v>
      </c>
      <c r="P43" s="231">
        <v>3.42</v>
      </c>
      <c r="S43" s="9"/>
      <c r="T43" s="9"/>
      <c r="U43" s="9"/>
      <c r="V43" s="9"/>
      <c r="W43" s="9"/>
      <c r="X43" s="6"/>
      <c r="Y43" s="6"/>
      <c r="Z43" s="6"/>
      <c r="AA43" s="6"/>
      <c r="AB43" s="6"/>
      <c r="AC43" s="6"/>
      <c r="AD43" s="6"/>
      <c r="AE43" s="6"/>
    </row>
    <row r="44" spans="1:31" x14ac:dyDescent="0.25">
      <c r="A44" s="232">
        <v>10</v>
      </c>
      <c r="B44" s="222">
        <v>0.7</v>
      </c>
      <c r="C44" s="222">
        <f>$C$43</f>
        <v>0.2</v>
      </c>
      <c r="D44" s="217">
        <f t="shared" si="10"/>
        <v>19.599999999999998</v>
      </c>
      <c r="E44" s="217">
        <f t="shared" si="11"/>
        <v>3.25</v>
      </c>
      <c r="F44" s="221">
        <v>3.25</v>
      </c>
      <c r="G44" s="221">
        <v>3.69</v>
      </c>
      <c r="H44" s="221">
        <v>4.4400000000000004</v>
      </c>
      <c r="I44" s="233">
        <v>5.01</v>
      </c>
      <c r="J44" s="478">
        <f t="shared" si="12"/>
        <v>4.8786716791979945</v>
      </c>
      <c r="K44" s="221">
        <v>8.2799999999999994</v>
      </c>
      <c r="L44" s="221">
        <v>6.85</v>
      </c>
      <c r="M44" s="221">
        <v>5.73</v>
      </c>
      <c r="N44" s="221">
        <v>4.8499999999999996</v>
      </c>
      <c r="O44" s="221">
        <v>4.3499999999999996</v>
      </c>
      <c r="P44" s="233">
        <v>4.13</v>
      </c>
      <c r="S44" s="9"/>
      <c r="T44" s="9"/>
      <c r="U44" s="9"/>
      <c r="V44" s="9"/>
      <c r="W44" s="9"/>
      <c r="X44" s="6"/>
      <c r="Y44" s="6"/>
      <c r="Z44" s="6"/>
      <c r="AA44" s="6"/>
      <c r="AB44" s="6"/>
      <c r="AC44" s="6"/>
      <c r="AD44" s="6"/>
      <c r="AE44" s="6"/>
    </row>
    <row r="45" spans="1:31" x14ac:dyDescent="0.25">
      <c r="A45" s="232">
        <v>12</v>
      </c>
      <c r="B45" s="222">
        <v>0.7</v>
      </c>
      <c r="C45" s="222">
        <f>$C$43</f>
        <v>0.2</v>
      </c>
      <c r="D45" s="217">
        <f t="shared" si="10"/>
        <v>23.45</v>
      </c>
      <c r="E45" s="217">
        <f t="shared" si="11"/>
        <v>4.21</v>
      </c>
      <c r="F45" s="223">
        <v>4.21</v>
      </c>
      <c r="G45" s="223">
        <v>4.78</v>
      </c>
      <c r="H45" s="223">
        <v>5.75</v>
      </c>
      <c r="I45" s="234">
        <v>6.5</v>
      </c>
      <c r="J45" s="478">
        <f t="shared" si="12"/>
        <v>5.9755137844611532</v>
      </c>
      <c r="K45" s="223">
        <v>9.2200000000000006</v>
      </c>
      <c r="L45" s="223">
        <v>8.42</v>
      </c>
      <c r="M45" s="223">
        <v>7.03</v>
      </c>
      <c r="N45" s="223">
        <v>5.94</v>
      </c>
      <c r="O45" s="223">
        <v>5.33</v>
      </c>
      <c r="P45" s="234">
        <v>5.0599999999999996</v>
      </c>
      <c r="S45" s="4"/>
      <c r="T45" s="4"/>
      <c r="U45" s="4"/>
      <c r="V45" s="4"/>
      <c r="W45" s="4"/>
      <c r="X45" s="6"/>
      <c r="Y45" s="6"/>
      <c r="Z45" s="6"/>
      <c r="AA45" s="6"/>
      <c r="AB45" s="6"/>
      <c r="AC45" s="6"/>
      <c r="AD45" s="6"/>
      <c r="AE45" s="6"/>
    </row>
    <row r="46" spans="1:31" x14ac:dyDescent="0.25">
      <c r="A46" s="232">
        <v>16</v>
      </c>
      <c r="B46" s="222">
        <v>0.7</v>
      </c>
      <c r="C46" s="222">
        <f>$C$43</f>
        <v>0.2</v>
      </c>
      <c r="D46" s="217">
        <f t="shared" si="10"/>
        <v>31.499999999999996</v>
      </c>
      <c r="E46" s="217">
        <f t="shared" si="11"/>
        <v>6.21</v>
      </c>
      <c r="F46" s="223">
        <v>6.21</v>
      </c>
      <c r="G46" s="223">
        <v>7.05</v>
      </c>
      <c r="H46" s="223">
        <v>8.49</v>
      </c>
      <c r="I46" s="234">
        <v>9.6</v>
      </c>
      <c r="J46" s="478">
        <f t="shared" si="12"/>
        <v>8.1772431077694243</v>
      </c>
      <c r="K46" s="223">
        <v>13.8</v>
      </c>
      <c r="L46" s="223">
        <v>11.4</v>
      </c>
      <c r="M46" s="223">
        <v>9.58</v>
      </c>
      <c r="N46" s="223">
        <v>8.1300000000000008</v>
      </c>
      <c r="O46" s="223">
        <v>7.31</v>
      </c>
      <c r="P46" s="234">
        <v>6.95</v>
      </c>
      <c r="S46" s="4"/>
      <c r="T46" s="4"/>
      <c r="U46" s="4"/>
      <c r="V46" s="4"/>
      <c r="W46" s="4"/>
      <c r="X46" s="6"/>
      <c r="Y46" s="6"/>
      <c r="Z46" s="6"/>
      <c r="AA46" s="6"/>
      <c r="AB46" s="6"/>
      <c r="AC46" s="6"/>
      <c r="AD46" s="6"/>
      <c r="AE46" s="6"/>
    </row>
    <row r="47" spans="1:31" x14ac:dyDescent="0.25">
      <c r="A47" s="232">
        <v>20</v>
      </c>
      <c r="B47" s="222">
        <v>0.7</v>
      </c>
      <c r="C47" s="222">
        <f>$C$43</f>
        <v>0.2</v>
      </c>
      <c r="D47" s="217">
        <f t="shared" si="10"/>
        <v>39.129999999999995</v>
      </c>
      <c r="E47" s="217">
        <f t="shared" si="11"/>
        <v>6.65</v>
      </c>
      <c r="F47" s="223">
        <v>6.65</v>
      </c>
      <c r="G47" s="223">
        <v>7.55</v>
      </c>
      <c r="H47" s="223">
        <v>9.09</v>
      </c>
      <c r="I47" s="234">
        <v>10.3</v>
      </c>
      <c r="J47" s="478">
        <f t="shared" si="12"/>
        <v>9.7682205513784464</v>
      </c>
      <c r="K47" s="223">
        <v>15.7</v>
      </c>
      <c r="L47" s="223">
        <v>13.1</v>
      </c>
      <c r="M47" s="223">
        <v>11.2</v>
      </c>
      <c r="N47" s="223">
        <v>9.7200000000000006</v>
      </c>
      <c r="O47" s="223">
        <v>8.86</v>
      </c>
      <c r="P47" s="234">
        <v>8.48</v>
      </c>
      <c r="S47" s="4"/>
      <c r="T47" s="4"/>
      <c r="U47" s="4"/>
      <c r="V47" s="4"/>
      <c r="W47" s="4"/>
      <c r="X47" s="6"/>
      <c r="Y47" s="6"/>
      <c r="Z47" s="6"/>
      <c r="AA47" s="6"/>
      <c r="AB47" s="6"/>
      <c r="AC47" s="6"/>
      <c r="AD47" s="6"/>
      <c r="AE47" s="6"/>
    </row>
    <row r="48" spans="1:31" ht="16.5" thickBot="1" x14ac:dyDescent="0.3">
      <c r="A48" s="235">
        <v>26</v>
      </c>
      <c r="B48" s="236">
        <v>0.7</v>
      </c>
      <c r="C48" s="236">
        <f>$C$43</f>
        <v>0.2</v>
      </c>
      <c r="D48" s="219">
        <f t="shared" si="10"/>
        <v>49.980000000000004</v>
      </c>
      <c r="E48" s="219">
        <f t="shared" si="11"/>
        <v>9.5</v>
      </c>
      <c r="F48" s="237">
        <v>9.5</v>
      </c>
      <c r="G48" s="237">
        <v>10.8</v>
      </c>
      <c r="H48" s="237">
        <v>13</v>
      </c>
      <c r="I48" s="238">
        <v>14.7</v>
      </c>
      <c r="J48" s="479">
        <f t="shared" si="12"/>
        <v>13.471679197994987</v>
      </c>
      <c r="K48" s="237">
        <v>21.9</v>
      </c>
      <c r="L48" s="237">
        <v>18.3</v>
      </c>
      <c r="M48" s="237">
        <v>15.6</v>
      </c>
      <c r="N48" s="237">
        <v>13.4</v>
      </c>
      <c r="O48" s="237">
        <v>12.2</v>
      </c>
      <c r="P48" s="238">
        <v>11.7</v>
      </c>
      <c r="S48" s="4"/>
      <c r="T48" s="4"/>
      <c r="U48" s="4"/>
      <c r="V48" s="4"/>
      <c r="W48" s="4"/>
      <c r="X48" s="6"/>
      <c r="Y48" s="6"/>
      <c r="Z48" s="6"/>
      <c r="AA48" s="6"/>
      <c r="AB48" s="6"/>
      <c r="AC48" s="6"/>
      <c r="AD48" s="6"/>
      <c r="AE48" s="6"/>
    </row>
    <row r="49" spans="1:31" x14ac:dyDescent="0.25">
      <c r="A49" s="229">
        <v>8</v>
      </c>
      <c r="B49" s="230">
        <v>0.6</v>
      </c>
      <c r="C49" s="230">
        <f>'1-Ore funzionamento'!AF11</f>
        <v>0.22105263157894736</v>
      </c>
      <c r="D49" s="218">
        <f t="shared" ref="D49:D54" si="13">D25*0.6</f>
        <v>13.44</v>
      </c>
      <c r="E49" s="218">
        <f t="shared" ref="E49:E54" si="14">IF($B$17&gt;=$I$24,I49,IF(AND($B$17&gt;=$H$24,$B$17&lt;$I$24),I49+(H49-I49)/($H$24-$I$24)*($B$17-$I$24),IF(AND($B$17&gt;=$G$24,$B$17&lt;$H$24),H49+(G49-H49)/($G$24-$H$24)*($B$17-$H$24),IF(AND($B$17&gt;=$F$24,$B$17&lt;$G$24),G49+(F49-G49)/($F$24-$G$24)*($B$17-$G$24),IF($B$17&lt;$F$24,F49,0)))))</f>
        <v>2</v>
      </c>
      <c r="F49" s="226">
        <v>2</v>
      </c>
      <c r="G49" s="226">
        <v>2.2599999999999998</v>
      </c>
      <c r="H49" s="226">
        <v>2.71</v>
      </c>
      <c r="I49" s="231">
        <v>3.05</v>
      </c>
      <c r="J49" s="341">
        <f t="shared" ref="J49:J54" si="15">IF($H$17&lt;=$K$24,$K49,IF(AND($H$17&gt;=$K$24,$H$17&lt;=$L$24),$K49-($K49-$L49)/($K$24-$L$24)*($K$24-$H$17),IF(AND($H$17&gt;=$L$24,$H$17&lt;=$M$24),$L49-($L49-$M49)/($L$24-$M$24)*($L$24-$H$17),IF(AND($H$17&gt;=$M$24,$H$17&lt;=$N$24),$M49-($M49-$N49)/($M$24-$N$24)*($M$24-$H$17),IF(AND($H$17&gt;=$N$24,$H$17&lt;=$O$24),$N49-($N49-$O49)/($N$24-$O$24)*($N$24-$H$17),IF(AND($H$17&gt;=$O$24,$H$17&lt;=$P$24),$O49-($O49-$P49)/($O$24-$P$24)*($O$24-$H$17),IF($H$17&gt;=$P$24,$P49)))))))</f>
        <v>3.0776556776556778</v>
      </c>
      <c r="K49" s="226">
        <v>4.6900000000000004</v>
      </c>
      <c r="L49" s="226">
        <v>4.01</v>
      </c>
      <c r="M49" s="226">
        <v>3.55</v>
      </c>
      <c r="N49" s="226">
        <v>3.2</v>
      </c>
      <c r="O49" s="226">
        <v>3</v>
      </c>
      <c r="P49" s="231">
        <v>2.92</v>
      </c>
      <c r="S49" s="9"/>
      <c r="T49" s="9"/>
      <c r="U49" s="9"/>
      <c r="V49" s="9"/>
      <c r="W49" s="9"/>
      <c r="X49" s="6"/>
      <c r="Y49" s="6"/>
      <c r="Z49" s="6"/>
      <c r="AA49" s="6"/>
      <c r="AB49" s="6"/>
      <c r="AC49" s="6"/>
      <c r="AD49" s="6"/>
      <c r="AE49" s="6"/>
    </row>
    <row r="50" spans="1:31" x14ac:dyDescent="0.25">
      <c r="A50" s="232">
        <v>10</v>
      </c>
      <c r="B50" s="222">
        <v>0.6</v>
      </c>
      <c r="C50" s="222">
        <f>$C$49</f>
        <v>0.22105263157894736</v>
      </c>
      <c r="D50" s="217">
        <f t="shared" si="13"/>
        <v>16.8</v>
      </c>
      <c r="E50" s="217">
        <f t="shared" si="14"/>
        <v>2.66</v>
      </c>
      <c r="F50" s="221">
        <v>2.66</v>
      </c>
      <c r="G50" s="221">
        <v>3.02</v>
      </c>
      <c r="H50" s="221">
        <v>3.62</v>
      </c>
      <c r="I50" s="233">
        <v>4.07</v>
      </c>
      <c r="J50" s="478">
        <f t="shared" si="15"/>
        <v>3.8753113553113554</v>
      </c>
      <c r="K50" s="221">
        <v>6.89</v>
      </c>
      <c r="L50" s="221">
        <v>5.74</v>
      </c>
      <c r="M50" s="221">
        <v>4.84</v>
      </c>
      <c r="N50" s="221">
        <v>4.12</v>
      </c>
      <c r="O50" s="221">
        <v>3.72</v>
      </c>
      <c r="P50" s="233">
        <v>3.54</v>
      </c>
      <c r="S50" s="9"/>
      <c r="T50" s="9"/>
      <c r="U50" s="9"/>
      <c r="V50" s="9"/>
      <c r="W50" s="9"/>
      <c r="X50" s="6"/>
      <c r="Y50" s="6"/>
      <c r="Z50" s="6"/>
      <c r="AA50" s="6"/>
      <c r="AB50" s="6"/>
      <c r="AC50" s="6"/>
      <c r="AD50" s="6"/>
      <c r="AE50" s="6"/>
    </row>
    <row r="51" spans="1:31" x14ac:dyDescent="0.25">
      <c r="A51" s="232">
        <v>12</v>
      </c>
      <c r="B51" s="222">
        <v>0.6</v>
      </c>
      <c r="C51" s="222">
        <f>$C$49</f>
        <v>0.22105263157894736</v>
      </c>
      <c r="D51" s="217">
        <f t="shared" si="13"/>
        <v>20.099999999999998</v>
      </c>
      <c r="E51" s="217">
        <f t="shared" si="14"/>
        <v>3.45</v>
      </c>
      <c r="F51" s="223">
        <v>3.45</v>
      </c>
      <c r="G51" s="223">
        <v>3.91</v>
      </c>
      <c r="H51" s="223">
        <v>4.6900000000000004</v>
      </c>
      <c r="I51" s="234">
        <v>5.28</v>
      </c>
      <c r="J51" s="478">
        <f t="shared" si="15"/>
        <v>4.7441391941391942</v>
      </c>
      <c r="K51" s="223">
        <v>8.49</v>
      </c>
      <c r="L51" s="223">
        <v>7.06</v>
      </c>
      <c r="M51" s="223">
        <v>5.94</v>
      </c>
      <c r="N51" s="223">
        <v>5.05</v>
      </c>
      <c r="O51" s="223">
        <v>4.55</v>
      </c>
      <c r="P51" s="234">
        <v>4.33</v>
      </c>
      <c r="S51" s="4"/>
      <c r="T51" s="4"/>
      <c r="U51" s="4"/>
      <c r="V51" s="4"/>
      <c r="W51" s="4"/>
      <c r="X51" s="6"/>
      <c r="Y51" s="6"/>
      <c r="Z51" s="6"/>
      <c r="AA51" s="6"/>
      <c r="AB51" s="6"/>
      <c r="AC51" s="6"/>
      <c r="AD51" s="6"/>
      <c r="AE51" s="6"/>
    </row>
    <row r="52" spans="1:31" x14ac:dyDescent="0.25">
      <c r="A52" s="232">
        <v>16</v>
      </c>
      <c r="B52" s="222">
        <v>0.6</v>
      </c>
      <c r="C52" s="222">
        <f>$C$49</f>
        <v>0.22105263157894736</v>
      </c>
      <c r="D52" s="217">
        <f t="shared" si="13"/>
        <v>27</v>
      </c>
      <c r="E52" s="217">
        <f t="shared" si="14"/>
        <v>5.0999999999999996</v>
      </c>
      <c r="F52" s="223">
        <v>5.0999999999999996</v>
      </c>
      <c r="G52" s="223">
        <v>5.78</v>
      </c>
      <c r="H52" s="223">
        <v>6.92</v>
      </c>
      <c r="I52" s="234">
        <v>7.79</v>
      </c>
      <c r="J52" s="478">
        <f t="shared" si="15"/>
        <v>6.5001465201465205</v>
      </c>
      <c r="K52" s="223">
        <v>11.5</v>
      </c>
      <c r="L52" s="223">
        <v>9.58</v>
      </c>
      <c r="M52" s="223">
        <v>8.09</v>
      </c>
      <c r="N52" s="223">
        <v>6.91</v>
      </c>
      <c r="O52" s="223">
        <v>6.24</v>
      </c>
      <c r="P52" s="234">
        <v>5.95</v>
      </c>
      <c r="S52" s="4"/>
      <c r="T52" s="4"/>
      <c r="U52" s="4"/>
      <c r="V52" s="4"/>
      <c r="W52" s="4"/>
      <c r="X52" s="6"/>
      <c r="Y52" s="6"/>
      <c r="Z52" s="6"/>
      <c r="AA52" s="6"/>
      <c r="AB52" s="6"/>
      <c r="AC52" s="6"/>
      <c r="AD52" s="6"/>
      <c r="AE52" s="6"/>
    </row>
    <row r="53" spans="1:31" x14ac:dyDescent="0.25">
      <c r="A53" s="232">
        <v>20</v>
      </c>
      <c r="B53" s="222">
        <v>0.6</v>
      </c>
      <c r="C53" s="222">
        <f>$C$49</f>
        <v>0.22105263157894736</v>
      </c>
      <c r="D53" s="217">
        <f t="shared" si="13"/>
        <v>33.54</v>
      </c>
      <c r="E53" s="217">
        <f t="shared" si="14"/>
        <v>5.46</v>
      </c>
      <c r="F53" s="223">
        <v>5.46</v>
      </c>
      <c r="G53" s="223">
        <v>6.18</v>
      </c>
      <c r="H53" s="223">
        <v>7.41</v>
      </c>
      <c r="I53" s="234">
        <v>8.34</v>
      </c>
      <c r="J53" s="478">
        <f t="shared" si="15"/>
        <v>7.8317948717948713</v>
      </c>
      <c r="K53" s="223">
        <v>13.1</v>
      </c>
      <c r="L53" s="223">
        <v>11</v>
      </c>
      <c r="M53" s="223">
        <v>9.4700000000000006</v>
      </c>
      <c r="N53" s="223">
        <v>8.26</v>
      </c>
      <c r="O53" s="223">
        <v>7.56</v>
      </c>
      <c r="P53" s="234">
        <v>7.25</v>
      </c>
      <c r="S53" s="4"/>
      <c r="T53" s="4"/>
      <c r="U53" s="4"/>
      <c r="V53" s="4"/>
      <c r="W53" s="4"/>
      <c r="X53" s="6"/>
      <c r="Y53" s="6"/>
      <c r="Z53" s="6"/>
      <c r="AA53" s="6"/>
      <c r="AB53" s="6"/>
      <c r="AC53" s="6"/>
      <c r="AD53" s="6"/>
      <c r="AE53" s="6"/>
    </row>
    <row r="54" spans="1:31" ht="16.5" thickBot="1" x14ac:dyDescent="0.3">
      <c r="A54" s="235">
        <v>26</v>
      </c>
      <c r="B54" s="236">
        <v>0.6</v>
      </c>
      <c r="C54" s="236">
        <f>$C$49</f>
        <v>0.22105263157894736</v>
      </c>
      <c r="D54" s="219">
        <f t="shared" si="13"/>
        <v>42.84</v>
      </c>
      <c r="E54" s="219">
        <f t="shared" si="14"/>
        <v>7.81</v>
      </c>
      <c r="F54" s="237">
        <v>7.81</v>
      </c>
      <c r="G54" s="237">
        <v>8.85</v>
      </c>
      <c r="H54" s="237">
        <v>10.6</v>
      </c>
      <c r="I54" s="238">
        <v>11.9</v>
      </c>
      <c r="J54" s="479">
        <f t="shared" si="15"/>
        <v>10.788278388278389</v>
      </c>
      <c r="K54" s="237">
        <v>18.3</v>
      </c>
      <c r="L54" s="237">
        <v>15.4</v>
      </c>
      <c r="M54" s="237">
        <v>13.2</v>
      </c>
      <c r="N54" s="237">
        <v>11.4</v>
      </c>
      <c r="O54" s="237">
        <v>10.4</v>
      </c>
      <c r="P54" s="238">
        <v>10</v>
      </c>
      <c r="S54" s="4"/>
      <c r="T54" s="4"/>
      <c r="U54" s="4"/>
      <c r="V54" s="4"/>
      <c r="W54" s="4"/>
      <c r="X54" s="6"/>
      <c r="Y54" s="6"/>
      <c r="Z54" s="6"/>
      <c r="AA54" s="6"/>
      <c r="AB54" s="6"/>
      <c r="AC54" s="6"/>
      <c r="AD54" s="6"/>
      <c r="AE54" s="6"/>
    </row>
    <row r="55" spans="1:31" x14ac:dyDescent="0.25">
      <c r="A55" s="229">
        <v>8</v>
      </c>
      <c r="B55" s="230">
        <v>0.5</v>
      </c>
      <c r="C55" s="230">
        <f>'1-Ore funzionamento'!AF12</f>
        <v>0.2</v>
      </c>
      <c r="D55" s="218">
        <f t="shared" ref="D55:D60" si="16">D25*0.5</f>
        <v>11.2</v>
      </c>
      <c r="E55" s="218">
        <f t="shared" ref="E55:E60" si="17">IF($B$18&gt;=$I$24,I55,IF(AND($B$18&gt;=$H$24,$B$18&lt;$I$24),I55+(H55-I55)/($H$24-$I$24)*($B$18-$I$24),IF(AND($B$18&gt;=$G$24,$B$18&lt;$H$24),H55+(G55-H55)/($G$24-$H$24)*($B$18-$H$24),IF(AND($B$18&gt;=$F$24,$B$18&lt;$G$24),G55+(F55-G55)/($F$24-$G$24)*($B$18-$G$24),IF($B$18&lt;$F$24,F55,0)))))</f>
        <v>1.61</v>
      </c>
      <c r="F55" s="226">
        <v>1.61</v>
      </c>
      <c r="G55" s="226">
        <v>1.81</v>
      </c>
      <c r="H55" s="226">
        <v>2.16</v>
      </c>
      <c r="I55" s="231">
        <v>2.42</v>
      </c>
      <c r="J55" s="341">
        <f t="shared" ref="J55:J60" si="18">IF($H$18&lt;=$K$24,$K55,IF(AND($H$18&gt;=$K$24,$H$18&lt;=$L$24),$K55-($K55-$L55)/($K$24-$L$24)*($K$24-$H$18),IF(AND($H$18&gt;=$L$24,$H$18&lt;=$M$24),$L55-($L55-$M55)/($L$24-$M$24)*($L$24-$H$18),IF(AND($H$18&gt;=$M$24,$H$18&lt;=$N$24),$M55-($M55-$N55)/($M$24-$N$24)*($M$24-$H$18),IF(AND($H$18&gt;=$N$24,$H$18&lt;=$O$24),$N55-($N55-$O55)/($N$24-$O$24)*($N$24-$H$18),IF(AND($H$18&gt;=$O$24,$H$18&lt;=$P$24),$O55-($O55-$P55)/($O$24-$P$24)*($O$24-$H$18),IF($H$18&gt;=$P$24,$P55)))))))</f>
        <v>2.4710526315789472</v>
      </c>
      <c r="K55" s="226">
        <v>3.8359999999999999</v>
      </c>
      <c r="L55" s="226">
        <v>3.3</v>
      </c>
      <c r="M55" s="226">
        <v>2.94</v>
      </c>
      <c r="N55" s="226">
        <v>2.66</v>
      </c>
      <c r="O55" s="226">
        <v>2.5099999999999998</v>
      </c>
      <c r="P55" s="231">
        <v>2.44</v>
      </c>
      <c r="S55" s="9"/>
      <c r="T55" s="9"/>
      <c r="U55" s="9"/>
      <c r="V55" s="9"/>
      <c r="W55" s="9"/>
      <c r="X55" s="6"/>
      <c r="Y55" s="6"/>
      <c r="Z55" s="6"/>
      <c r="AA55" s="6"/>
      <c r="AB55" s="6"/>
      <c r="AC55" s="6"/>
      <c r="AD55" s="6"/>
      <c r="AE55" s="6"/>
    </row>
    <row r="56" spans="1:31" x14ac:dyDescent="0.25">
      <c r="A56" s="232">
        <v>10</v>
      </c>
      <c r="B56" s="222">
        <v>0.5</v>
      </c>
      <c r="C56" s="222">
        <f>$C$55</f>
        <v>0.2</v>
      </c>
      <c r="D56" s="217">
        <f t="shared" si="16"/>
        <v>14</v>
      </c>
      <c r="E56" s="217">
        <f t="shared" si="17"/>
        <v>2.14</v>
      </c>
      <c r="F56" s="221">
        <v>2.14</v>
      </c>
      <c r="G56" s="221">
        <v>2.42</v>
      </c>
      <c r="H56" s="221">
        <v>2.88</v>
      </c>
      <c r="I56" s="233">
        <v>3.23</v>
      </c>
      <c r="J56" s="478">
        <f t="shared" si="18"/>
        <v>3.0321052631578946</v>
      </c>
      <c r="K56" s="221">
        <v>5.6</v>
      </c>
      <c r="L56" s="221">
        <v>4.7</v>
      </c>
      <c r="M56" s="221">
        <v>3.99</v>
      </c>
      <c r="N56" s="221">
        <v>3.43</v>
      </c>
      <c r="O56" s="221">
        <v>3.11</v>
      </c>
      <c r="P56" s="233">
        <v>2.97</v>
      </c>
      <c r="S56" s="9"/>
      <c r="T56" s="9"/>
      <c r="U56" s="9"/>
      <c r="V56" s="9"/>
      <c r="W56" s="9"/>
      <c r="X56" s="6"/>
      <c r="Y56" s="6"/>
      <c r="Z56" s="6"/>
      <c r="AA56" s="6"/>
      <c r="AB56" s="6"/>
      <c r="AC56" s="6"/>
      <c r="AD56" s="6"/>
      <c r="AE56" s="6"/>
    </row>
    <row r="57" spans="1:31" x14ac:dyDescent="0.25">
      <c r="A57" s="232">
        <v>12</v>
      </c>
      <c r="B57" s="222">
        <v>0.5</v>
      </c>
      <c r="C57" s="222">
        <f>$C$55</f>
        <v>0.2</v>
      </c>
      <c r="D57" s="217">
        <f t="shared" si="16"/>
        <v>16.75</v>
      </c>
      <c r="E57" s="217">
        <f t="shared" si="17"/>
        <v>2.78</v>
      </c>
      <c r="F57" s="223">
        <v>2.78</v>
      </c>
      <c r="G57" s="223">
        <v>3.14</v>
      </c>
      <c r="H57" s="223">
        <v>3.74</v>
      </c>
      <c r="I57" s="234">
        <v>4.1900000000000004</v>
      </c>
      <c r="J57" s="478">
        <f t="shared" si="18"/>
        <v>3.7098496240601504</v>
      </c>
      <c r="K57" s="223">
        <v>6.89</v>
      </c>
      <c r="L57" s="223">
        <v>5.78</v>
      </c>
      <c r="M57" s="223">
        <v>4.9000000000000004</v>
      </c>
      <c r="N57" s="223">
        <v>4.21</v>
      </c>
      <c r="O57" s="223">
        <v>3.81</v>
      </c>
      <c r="P57" s="234">
        <v>3.63</v>
      </c>
      <c r="S57" s="4"/>
      <c r="T57" s="4"/>
      <c r="U57" s="4"/>
      <c r="V57" s="4"/>
      <c r="W57" s="4"/>
      <c r="X57" s="6"/>
      <c r="Y57" s="6"/>
      <c r="Z57" s="6"/>
      <c r="AA57" s="6"/>
      <c r="AB57" s="6"/>
      <c r="AC57" s="6"/>
      <c r="AD57" s="6"/>
      <c r="AE57" s="6"/>
    </row>
    <row r="58" spans="1:31" x14ac:dyDescent="0.25">
      <c r="A58" s="232">
        <v>16</v>
      </c>
      <c r="B58" s="222">
        <v>0.5</v>
      </c>
      <c r="C58" s="222">
        <f>$C$55</f>
        <v>0.2</v>
      </c>
      <c r="D58" s="217">
        <f t="shared" si="16"/>
        <v>22.5</v>
      </c>
      <c r="E58" s="217">
        <f t="shared" si="17"/>
        <v>4.0999999999999996</v>
      </c>
      <c r="F58" s="223">
        <v>4.0999999999999996</v>
      </c>
      <c r="G58" s="223">
        <v>4.63</v>
      </c>
      <c r="H58" s="223">
        <v>5.52</v>
      </c>
      <c r="I58" s="234">
        <v>6.19</v>
      </c>
      <c r="J58" s="478">
        <f t="shared" si="18"/>
        <v>5.0964661654135339</v>
      </c>
      <c r="K58" s="223">
        <v>9.33</v>
      </c>
      <c r="L58" s="223">
        <v>7.84</v>
      </c>
      <c r="M58" s="223">
        <v>6.68</v>
      </c>
      <c r="N58" s="223">
        <v>5.76</v>
      </c>
      <c r="O58" s="223">
        <v>5.23</v>
      </c>
      <c r="P58" s="234">
        <v>4.99</v>
      </c>
      <c r="S58" s="4"/>
      <c r="T58" s="4"/>
      <c r="U58" s="4"/>
      <c r="V58" s="4"/>
      <c r="W58" s="4"/>
      <c r="X58" s="6"/>
      <c r="Y58" s="6"/>
      <c r="Z58" s="6"/>
      <c r="AA58" s="6"/>
      <c r="AB58" s="6"/>
      <c r="AC58" s="6"/>
      <c r="AD58" s="6"/>
      <c r="AE58" s="6"/>
    </row>
    <row r="59" spans="1:31" x14ac:dyDescent="0.25">
      <c r="A59" s="232">
        <v>20</v>
      </c>
      <c r="B59" s="222">
        <v>0.5</v>
      </c>
      <c r="C59" s="222">
        <f>$C$55</f>
        <v>0.2</v>
      </c>
      <c r="D59" s="217">
        <f t="shared" si="16"/>
        <v>27.95</v>
      </c>
      <c r="E59" s="217">
        <f t="shared" si="17"/>
        <v>4.3899999999999997</v>
      </c>
      <c r="F59" s="223">
        <v>4.3899999999999997</v>
      </c>
      <c r="G59" s="223">
        <v>4.96</v>
      </c>
      <c r="H59" s="223">
        <v>5.91</v>
      </c>
      <c r="I59" s="234">
        <v>6.63</v>
      </c>
      <c r="J59" s="478">
        <f t="shared" si="18"/>
        <v>6.1864661654135338</v>
      </c>
      <c r="K59" s="223">
        <v>10.6</v>
      </c>
      <c r="L59" s="223">
        <v>9.0399999999999991</v>
      </c>
      <c r="M59" s="223">
        <v>7.83</v>
      </c>
      <c r="N59" s="223">
        <v>6.87</v>
      </c>
      <c r="O59" s="223">
        <v>6.32</v>
      </c>
      <c r="P59" s="234">
        <v>6.08</v>
      </c>
      <c r="S59" s="4"/>
      <c r="T59" s="4"/>
      <c r="U59" s="4"/>
      <c r="V59" s="4"/>
      <c r="W59" s="4"/>
      <c r="X59" s="6"/>
      <c r="Y59" s="6"/>
      <c r="Z59" s="6"/>
      <c r="AA59" s="6"/>
      <c r="AB59" s="6"/>
      <c r="AC59" s="6"/>
      <c r="AD59" s="6"/>
      <c r="AE59" s="6"/>
    </row>
    <row r="60" spans="1:31" ht="16.5" thickBot="1" x14ac:dyDescent="0.3">
      <c r="A60" s="239">
        <v>26</v>
      </c>
      <c r="B60" s="240">
        <v>0.5</v>
      </c>
      <c r="C60" s="240">
        <f>$C$55</f>
        <v>0.2</v>
      </c>
      <c r="D60" s="220">
        <f t="shared" si="16"/>
        <v>35.700000000000003</v>
      </c>
      <c r="E60" s="220">
        <f t="shared" si="17"/>
        <v>6.29</v>
      </c>
      <c r="F60" s="241">
        <v>6.29</v>
      </c>
      <c r="G60" s="241">
        <v>7.09</v>
      </c>
      <c r="H60" s="241">
        <v>8.4600000000000009</v>
      </c>
      <c r="I60" s="242">
        <v>9.5</v>
      </c>
      <c r="J60" s="342">
        <f t="shared" si="18"/>
        <v>8.5308270676691738</v>
      </c>
      <c r="K60" s="237">
        <v>14.9</v>
      </c>
      <c r="L60" s="237">
        <v>12.6</v>
      </c>
      <c r="M60" s="237">
        <v>10.9</v>
      </c>
      <c r="N60" s="237">
        <v>9.51</v>
      </c>
      <c r="O60" s="237">
        <v>8.7200000000000006</v>
      </c>
      <c r="P60" s="238">
        <v>8.3800000000000008</v>
      </c>
      <c r="S60" s="4"/>
      <c r="T60" s="4"/>
      <c r="U60" s="4"/>
      <c r="V60" s="4"/>
      <c r="W60" s="4"/>
      <c r="X60" s="6"/>
      <c r="Y60" s="6"/>
      <c r="Z60" s="6"/>
      <c r="AA60" s="6"/>
      <c r="AB60" s="6"/>
      <c r="AC60" s="6"/>
      <c r="AD60" s="6"/>
      <c r="AE60" s="6"/>
    </row>
    <row r="61" spans="1:31" x14ac:dyDescent="0.25">
      <c r="A61" s="229">
        <v>8</v>
      </c>
      <c r="B61" s="230">
        <v>0.4</v>
      </c>
      <c r="C61" s="230">
        <f>'1-Ore funzionamento'!AF13</f>
        <v>9.4736842105263161E-2</v>
      </c>
      <c r="D61" s="218">
        <f t="shared" ref="D61:D66" si="19">D25*0.4</f>
        <v>8.9599999999999991</v>
      </c>
      <c r="E61" s="218">
        <f t="shared" ref="E61:E66" si="20">IF($B$19&gt;=$I$24,I61,IF(AND($B$19&gt;=$H$24,$B$19&lt;$I$24),I61+(H61-I61)/($H$24-$I$24)*($B$19-$I$24),IF(AND($B$19&gt;=$G$24,$B$19&lt;$H$24),H61+(G61-H61)/($G$24-$H$24)*($B$19-$H$24),IF(AND($B$19&gt;=$F$24,$B$19&lt;$G$24),G61+(F61-G61)/($F$24-$G$24)*($B$19-$G$24),IF($B$19&lt;$F$24,F61,0)))))</f>
        <v>1.4490000000000001</v>
      </c>
      <c r="F61" s="261">
        <f t="shared" ref="F61:I64" si="21">F55-(F55*0.1)</f>
        <v>1.4490000000000001</v>
      </c>
      <c r="G61" s="261">
        <f t="shared" si="21"/>
        <v>1.629</v>
      </c>
      <c r="H61" s="261">
        <f t="shared" si="21"/>
        <v>1.9440000000000002</v>
      </c>
      <c r="I61" s="482">
        <f t="shared" si="21"/>
        <v>2.1779999999999999</v>
      </c>
      <c r="J61" s="477">
        <f t="shared" ref="J61:J66" si="22">IF($H$19&lt;=$K$24,$K61,IF(AND($H$19&gt;=$K$24,$H$19&lt;=$L$24),$K61-($K61-$L61)/($K$24-$L$24)*($K$24-$H$19),IF(AND($H$19&gt;=$L$24,$H$19&lt;=$M$24),$L61-($L61-$M61)/($L$24-$M$24)*($L$24-$H$19),IF(AND($H$19&gt;=$M$24,$H$19&lt;=$N$24),$M61-($M61-$N61)/($M$24-$N$24)*($M$24-$H$19),IF(AND($H$19&gt;=$N$24,$H$19&lt;=$O$24),$N61-($N61-$O61)/($N$24-$O$24)*($N$24-$H$19),IF(AND($H$19&gt;=$O$24,$H$19&lt;=$P$24),$O61-($O61-$P61)/($O$24-$P$24)*($O$24-$H$19),IF($H$19&gt;=$P$24,$P61)))))))</f>
        <v>2.028</v>
      </c>
      <c r="K61" s="226">
        <f t="shared" ref="K61:K66" si="23">K25*B61</f>
        <v>2.548</v>
      </c>
      <c r="L61" s="226">
        <f t="shared" ref="L61:L66" si="24">L25*B61</f>
        <v>2.6920000000000002</v>
      </c>
      <c r="M61" s="226">
        <f t="shared" ref="M61:M66" si="25">M25*B61</f>
        <v>2.54</v>
      </c>
      <c r="N61" s="226">
        <f t="shared" ref="N61:N66" si="26">N25*B61</f>
        <v>2.3440000000000003</v>
      </c>
      <c r="O61" s="226">
        <f t="shared" ref="O61:O66" si="27">O25*B61</f>
        <v>2.0960000000000001</v>
      </c>
      <c r="P61" s="231">
        <f t="shared" ref="P61:P66" si="28">P25*B61</f>
        <v>2.028</v>
      </c>
      <c r="S61" s="9"/>
      <c r="T61" s="9"/>
      <c r="U61" s="9"/>
      <c r="V61" s="9"/>
      <c r="W61" s="9"/>
      <c r="X61" s="6"/>
      <c r="Y61" s="6"/>
      <c r="Z61" s="6"/>
      <c r="AA61" s="6"/>
      <c r="AB61" s="6"/>
      <c r="AC61" s="6"/>
      <c r="AD61" s="6"/>
      <c r="AE61" s="6"/>
    </row>
    <row r="62" spans="1:31" x14ac:dyDescent="0.25">
      <c r="A62" s="232">
        <v>10</v>
      </c>
      <c r="B62" s="222">
        <v>0.4</v>
      </c>
      <c r="C62" s="222">
        <f>$C$61</f>
        <v>9.4736842105263161E-2</v>
      </c>
      <c r="D62" s="217">
        <f t="shared" si="19"/>
        <v>11.200000000000001</v>
      </c>
      <c r="E62" s="217">
        <f t="shared" si="20"/>
        <v>1.9260000000000002</v>
      </c>
      <c r="F62" s="267">
        <f t="shared" si="21"/>
        <v>1.9260000000000002</v>
      </c>
      <c r="G62" s="267">
        <f t="shared" si="21"/>
        <v>2.1779999999999999</v>
      </c>
      <c r="H62" s="267">
        <f t="shared" si="21"/>
        <v>2.5920000000000001</v>
      </c>
      <c r="I62" s="483">
        <f t="shared" si="21"/>
        <v>2.907</v>
      </c>
      <c r="J62" s="478">
        <f t="shared" si="22"/>
        <v>2.4320000000000004</v>
      </c>
      <c r="K62" s="221">
        <f t="shared" si="23"/>
        <v>3.4079999999999999</v>
      </c>
      <c r="L62" s="221">
        <f t="shared" si="24"/>
        <v>3.64</v>
      </c>
      <c r="M62" s="221">
        <f t="shared" si="25"/>
        <v>3.48</v>
      </c>
      <c r="N62" s="221">
        <f t="shared" si="26"/>
        <v>2.9000000000000004</v>
      </c>
      <c r="O62" s="221">
        <f t="shared" si="27"/>
        <v>2.5760000000000005</v>
      </c>
      <c r="P62" s="233">
        <f t="shared" si="28"/>
        <v>2.4320000000000004</v>
      </c>
      <c r="S62" s="9"/>
      <c r="T62" s="9"/>
      <c r="U62" s="9"/>
      <c r="V62" s="9"/>
      <c r="W62" s="9"/>
      <c r="X62" s="6"/>
      <c r="Y62" s="6"/>
      <c r="Z62" s="6"/>
      <c r="AA62" s="6"/>
      <c r="AB62" s="6"/>
      <c r="AC62" s="6"/>
      <c r="AD62" s="6"/>
      <c r="AE62" s="6"/>
    </row>
    <row r="63" spans="1:31" x14ac:dyDescent="0.25">
      <c r="A63" s="232">
        <v>12</v>
      </c>
      <c r="B63" s="222">
        <v>0.4</v>
      </c>
      <c r="C63" s="222">
        <f>$C$61</f>
        <v>9.4736842105263161E-2</v>
      </c>
      <c r="D63" s="217">
        <f t="shared" si="19"/>
        <v>13.4</v>
      </c>
      <c r="E63" s="217">
        <f t="shared" si="20"/>
        <v>2.5019999999999998</v>
      </c>
      <c r="F63" s="267">
        <f t="shared" si="21"/>
        <v>2.5019999999999998</v>
      </c>
      <c r="G63" s="267">
        <f t="shared" si="21"/>
        <v>2.8260000000000001</v>
      </c>
      <c r="H63" s="267">
        <f t="shared" si="21"/>
        <v>3.3660000000000001</v>
      </c>
      <c r="I63" s="483">
        <f t="shared" si="21"/>
        <v>3.7710000000000004</v>
      </c>
      <c r="J63" s="478">
        <f t="shared" si="22"/>
        <v>2.9760000000000004</v>
      </c>
      <c r="K63" s="221">
        <f t="shared" si="23"/>
        <v>3.1360000000000001</v>
      </c>
      <c r="L63" s="221">
        <f t="shared" si="24"/>
        <v>3.4119999999999999</v>
      </c>
      <c r="M63" s="221">
        <f t="shared" si="25"/>
        <v>3.6440000000000001</v>
      </c>
      <c r="N63" s="221">
        <f t="shared" si="26"/>
        <v>3.5560000000000005</v>
      </c>
      <c r="O63" s="221">
        <f t="shared" si="27"/>
        <v>3.1520000000000001</v>
      </c>
      <c r="P63" s="233">
        <f t="shared" si="28"/>
        <v>2.9760000000000004</v>
      </c>
      <c r="S63" s="9"/>
      <c r="T63" s="9"/>
      <c r="U63" s="9"/>
      <c r="V63" s="9"/>
      <c r="W63" s="9"/>
      <c r="X63" s="6"/>
      <c r="Y63" s="6"/>
      <c r="Z63" s="6"/>
      <c r="AA63" s="6"/>
      <c r="AB63" s="6"/>
      <c r="AC63" s="6"/>
      <c r="AD63" s="6"/>
      <c r="AE63" s="6"/>
    </row>
    <row r="64" spans="1:31" x14ac:dyDescent="0.25">
      <c r="A64" s="232">
        <v>16</v>
      </c>
      <c r="B64" s="222">
        <v>0.4</v>
      </c>
      <c r="C64" s="222">
        <f>$C$61</f>
        <v>9.4736842105263161E-2</v>
      </c>
      <c r="D64" s="217">
        <f t="shared" si="19"/>
        <v>18</v>
      </c>
      <c r="E64" s="217">
        <f t="shared" si="20"/>
        <v>3.6899999999999995</v>
      </c>
      <c r="F64" s="267">
        <f t="shared" si="21"/>
        <v>3.6899999999999995</v>
      </c>
      <c r="G64" s="267">
        <f t="shared" si="21"/>
        <v>4.1669999999999998</v>
      </c>
      <c r="H64" s="267">
        <f t="shared" si="21"/>
        <v>4.968</v>
      </c>
      <c r="I64" s="483">
        <f t="shared" si="21"/>
        <v>5.5710000000000006</v>
      </c>
      <c r="J64" s="478">
        <f t="shared" si="22"/>
        <v>4.08</v>
      </c>
      <c r="K64" s="221">
        <f t="shared" si="23"/>
        <v>5.2</v>
      </c>
      <c r="L64" s="221">
        <f t="shared" si="24"/>
        <v>5.5600000000000005</v>
      </c>
      <c r="M64" s="221">
        <f t="shared" si="25"/>
        <v>5.8000000000000007</v>
      </c>
      <c r="N64" s="221">
        <f t="shared" si="26"/>
        <v>4.88</v>
      </c>
      <c r="O64" s="221">
        <f t="shared" si="27"/>
        <v>4.32</v>
      </c>
      <c r="P64" s="233">
        <f t="shared" si="28"/>
        <v>4.08</v>
      </c>
      <c r="S64" s="9"/>
      <c r="T64" s="9"/>
      <c r="U64" s="9"/>
      <c r="V64" s="9"/>
      <c r="W64" s="9"/>
      <c r="X64" s="6"/>
      <c r="Y64" s="6"/>
      <c r="Z64" s="6"/>
      <c r="AA64" s="6"/>
      <c r="AB64" s="6"/>
      <c r="AC64" s="6"/>
      <c r="AD64" s="6"/>
      <c r="AE64" s="6"/>
    </row>
    <row r="65" spans="1:31" x14ac:dyDescent="0.25">
      <c r="A65" s="232">
        <v>20</v>
      </c>
      <c r="B65" s="222">
        <v>0.4</v>
      </c>
      <c r="C65" s="222">
        <f>$C$61</f>
        <v>9.4736842105263161E-2</v>
      </c>
      <c r="D65" s="217">
        <f t="shared" si="19"/>
        <v>22.36</v>
      </c>
      <c r="E65" s="217">
        <f t="shared" si="20"/>
        <v>3.9509999999999996</v>
      </c>
      <c r="F65" s="267">
        <f>F59-(F59*0.1)</f>
        <v>3.9509999999999996</v>
      </c>
      <c r="G65" s="267">
        <f>G59-(G59*0.1)</f>
        <v>4.4640000000000004</v>
      </c>
      <c r="H65" s="267">
        <f>H59-(H59*0.1)</f>
        <v>5.319</v>
      </c>
      <c r="I65" s="483">
        <f>I59-(I59*0.1)</f>
        <v>5.9669999999999996</v>
      </c>
      <c r="J65" s="478">
        <f t="shared" si="22"/>
        <v>5</v>
      </c>
      <c r="K65" s="221">
        <f t="shared" si="23"/>
        <v>5.68</v>
      </c>
      <c r="L65" s="221">
        <f t="shared" si="24"/>
        <v>6.120000000000001</v>
      </c>
      <c r="M65" s="221">
        <f t="shared" si="25"/>
        <v>6.4400000000000013</v>
      </c>
      <c r="N65" s="221">
        <f t="shared" si="26"/>
        <v>5.8000000000000007</v>
      </c>
      <c r="O65" s="221">
        <f t="shared" si="27"/>
        <v>5.24</v>
      </c>
      <c r="P65" s="233">
        <f t="shared" si="28"/>
        <v>5</v>
      </c>
      <c r="S65" s="9"/>
      <c r="T65" s="9"/>
      <c r="U65" s="9"/>
      <c r="V65" s="9"/>
      <c r="W65" s="9"/>
      <c r="X65" s="6"/>
      <c r="Y65" s="6"/>
      <c r="Z65" s="6"/>
      <c r="AA65" s="6"/>
      <c r="AB65" s="6"/>
      <c r="AC65" s="6"/>
      <c r="AD65" s="6"/>
      <c r="AE65" s="6"/>
    </row>
    <row r="66" spans="1:31" ht="16.5" thickBot="1" x14ac:dyDescent="0.3">
      <c r="A66" s="239">
        <v>26</v>
      </c>
      <c r="B66" s="240">
        <v>0.4</v>
      </c>
      <c r="C66" s="240">
        <f>$C$61</f>
        <v>9.4736842105263161E-2</v>
      </c>
      <c r="D66" s="220">
        <f t="shared" si="19"/>
        <v>28.560000000000002</v>
      </c>
      <c r="E66" s="220">
        <f t="shared" si="20"/>
        <v>5.6609999999999996</v>
      </c>
      <c r="F66" s="274">
        <f t="shared" ref="F66:I67" si="29">F60-(F60*0.1)</f>
        <v>5.6609999999999996</v>
      </c>
      <c r="G66" s="274">
        <f t="shared" si="29"/>
        <v>6.3810000000000002</v>
      </c>
      <c r="H66" s="274">
        <f t="shared" si="29"/>
        <v>7.6140000000000008</v>
      </c>
      <c r="I66" s="484">
        <f t="shared" si="29"/>
        <v>8.5500000000000007</v>
      </c>
      <c r="J66" s="479">
        <f t="shared" si="22"/>
        <v>6.9200000000000008</v>
      </c>
      <c r="K66" s="227">
        <f t="shared" si="23"/>
        <v>7.76</v>
      </c>
      <c r="L66" s="227">
        <f t="shared" si="24"/>
        <v>8.32</v>
      </c>
      <c r="M66" s="227">
        <f t="shared" si="25"/>
        <v>8.76</v>
      </c>
      <c r="N66" s="227">
        <f t="shared" si="26"/>
        <v>8.0400000000000009</v>
      </c>
      <c r="O66" s="227">
        <f t="shared" si="27"/>
        <v>7.2400000000000011</v>
      </c>
      <c r="P66" s="228">
        <f t="shared" si="28"/>
        <v>6.9200000000000008</v>
      </c>
      <c r="S66" s="9"/>
      <c r="T66" s="9"/>
      <c r="U66" s="9"/>
      <c r="V66" s="9"/>
      <c r="W66" s="9"/>
      <c r="X66" s="6"/>
      <c r="Y66" s="6"/>
      <c r="Z66" s="6"/>
      <c r="AA66" s="6"/>
      <c r="AB66" s="6"/>
      <c r="AC66" s="6"/>
      <c r="AD66" s="6"/>
      <c r="AE66" s="6"/>
    </row>
    <row r="67" spans="1:31" x14ac:dyDescent="0.25">
      <c r="A67" s="229">
        <v>8</v>
      </c>
      <c r="B67" s="230">
        <v>0.3</v>
      </c>
      <c r="C67" s="230">
        <f>'1-Ore funzionamento'!AF14</f>
        <v>4.2105263157894743E-2</v>
      </c>
      <c r="D67" s="218">
        <f t="shared" ref="D67:D72" si="30">D25*0.3</f>
        <v>6.72</v>
      </c>
      <c r="E67" s="218">
        <f t="shared" ref="E67:E72" si="31">IF($B$20&gt;=$I$24,I67,IF(AND($B$20&gt;=$H$24,$B$20&lt;$I$24),I67+(H67-I67)/($H$24-$I$24)*($B$20-$I$24),IF(AND($B$20&gt;=$G$24,$B$20&lt;$H$24),H67+(G67-H67)/($G$24-$H$24)*($B$20-$H$24),IF(AND($B$20&gt;=$F$24,$B$20&lt;$G$24),G67+(F67-G67)/($F$24-$G$24)*($B$20-$G$24),IF($B$20&lt;$F$24,F67,0)))))</f>
        <v>1.3041</v>
      </c>
      <c r="F67" s="292">
        <f t="shared" si="29"/>
        <v>1.3041</v>
      </c>
      <c r="G67" s="292">
        <f t="shared" si="29"/>
        <v>1.4661</v>
      </c>
      <c r="H67" s="292">
        <f t="shared" si="29"/>
        <v>1.7496</v>
      </c>
      <c r="I67" s="485">
        <f t="shared" si="29"/>
        <v>1.9601999999999999</v>
      </c>
      <c r="J67" s="341">
        <f t="shared" ref="J67:J72" si="32">IF($H$20&lt;=$K$24,$K67,IF(AND($H$20&gt;=$K$24,$H$20&lt;=$L$24),$K67-($K67-$L67)/($K$24-$L$24)*($K$24-$H$20),IF(AND($H$20&gt;=$L$24,$H$20&lt;=$M$24),$L67-($L67-$M67)/($L$24-$M$24)*($L$24-$H$20),IF(AND($H$20&gt;=$M$24,$H$20&lt;=$N$24),$M67-($M67-$N67)/($M$24-$N$24)*($M$24-$H$20),IF(AND($H$20&gt;=$N$24,$H$20&lt;=$O$24),$N67-($N67-$O67)/($N$24-$O$24)*($N$24-$H$20),IF(AND($H$20&gt;=$O$24,$H$20&lt;=$P$24),$O67-($O67-$P67)/($O$24-$P$24)*($O$24-$H$20),IF($H$20&gt;=$P$24,$P67)))))))</f>
        <v>1.5210000000000001</v>
      </c>
      <c r="K67" s="243">
        <f t="shared" ref="K67:K72" si="33">K25*B67</f>
        <v>1.911</v>
      </c>
      <c r="L67" s="243">
        <f t="shared" ref="L67:L72" si="34">L25*B67</f>
        <v>2.0190000000000001</v>
      </c>
      <c r="M67" s="243">
        <f t="shared" ref="M67:M72" si="35">M25*B67</f>
        <v>1.9049999999999998</v>
      </c>
      <c r="N67" s="243">
        <f t="shared" ref="N67:N72" si="36">N25*B67</f>
        <v>1.758</v>
      </c>
      <c r="O67" s="243">
        <f t="shared" ref="O67:O72" si="37">O25*B67</f>
        <v>1.5720000000000001</v>
      </c>
      <c r="P67" s="244">
        <f t="shared" ref="P67:P72" si="38">P25*B67</f>
        <v>1.5210000000000001</v>
      </c>
      <c r="S67" s="4"/>
      <c r="T67" s="4"/>
      <c r="U67" s="4"/>
      <c r="V67" s="4"/>
      <c r="W67" s="4"/>
      <c r="X67" s="6"/>
      <c r="Y67" s="6"/>
      <c r="Z67" s="6"/>
      <c r="AA67" s="6"/>
      <c r="AB67" s="6"/>
      <c r="AC67" s="6"/>
      <c r="AD67" s="6"/>
      <c r="AE67" s="6"/>
    </row>
    <row r="68" spans="1:31" x14ac:dyDescent="0.25">
      <c r="A68" s="232">
        <v>10</v>
      </c>
      <c r="B68" s="222">
        <v>0.3</v>
      </c>
      <c r="C68" s="222">
        <f>$C$67</f>
        <v>4.2105263157894743E-2</v>
      </c>
      <c r="D68" s="217">
        <f t="shared" si="30"/>
        <v>8.4</v>
      </c>
      <c r="E68" s="217">
        <f t="shared" si="31"/>
        <v>1.7334000000000001</v>
      </c>
      <c r="F68" s="293">
        <f t="shared" ref="F68:I72" si="39">F62-(F62*0.1)</f>
        <v>1.7334000000000001</v>
      </c>
      <c r="G68" s="293">
        <f t="shared" si="39"/>
        <v>1.9601999999999999</v>
      </c>
      <c r="H68" s="293">
        <f t="shared" si="39"/>
        <v>2.3328000000000002</v>
      </c>
      <c r="I68" s="486">
        <f t="shared" si="39"/>
        <v>2.6162999999999998</v>
      </c>
      <c r="J68" s="478">
        <f t="shared" si="32"/>
        <v>1.8239999999999998</v>
      </c>
      <c r="K68" s="223">
        <f t="shared" si="33"/>
        <v>2.5559999999999996</v>
      </c>
      <c r="L68" s="223">
        <f t="shared" si="34"/>
        <v>2.73</v>
      </c>
      <c r="M68" s="223">
        <f t="shared" si="35"/>
        <v>2.61</v>
      </c>
      <c r="N68" s="223">
        <f t="shared" si="36"/>
        <v>2.1749999999999998</v>
      </c>
      <c r="O68" s="223">
        <f t="shared" si="37"/>
        <v>1.9319999999999999</v>
      </c>
      <c r="P68" s="234">
        <f t="shared" si="38"/>
        <v>1.8239999999999998</v>
      </c>
      <c r="S68" s="4"/>
      <c r="T68" s="4"/>
      <c r="U68" s="4"/>
      <c r="V68" s="4"/>
      <c r="W68" s="4"/>
      <c r="X68" s="6"/>
      <c r="Y68" s="6"/>
      <c r="Z68" s="6"/>
      <c r="AA68" s="6"/>
      <c r="AB68" s="6"/>
      <c r="AC68" s="6"/>
      <c r="AD68" s="6"/>
      <c r="AE68" s="6"/>
    </row>
    <row r="69" spans="1:31" x14ac:dyDescent="0.25">
      <c r="A69" s="232">
        <v>12</v>
      </c>
      <c r="B69" s="222">
        <v>0.3</v>
      </c>
      <c r="C69" s="222">
        <f>$C$67</f>
        <v>4.2105263157894743E-2</v>
      </c>
      <c r="D69" s="217">
        <f t="shared" si="30"/>
        <v>10.049999999999999</v>
      </c>
      <c r="E69" s="217">
        <f t="shared" si="31"/>
        <v>2.2517999999999998</v>
      </c>
      <c r="F69" s="293">
        <f t="shared" si="39"/>
        <v>2.2517999999999998</v>
      </c>
      <c r="G69" s="293">
        <f t="shared" si="39"/>
        <v>2.5434000000000001</v>
      </c>
      <c r="H69" s="293">
        <f t="shared" si="39"/>
        <v>3.0293999999999999</v>
      </c>
      <c r="I69" s="486">
        <f t="shared" si="39"/>
        <v>3.3939000000000004</v>
      </c>
      <c r="J69" s="478">
        <f t="shared" si="32"/>
        <v>2.2320000000000002</v>
      </c>
      <c r="K69" s="223">
        <f t="shared" si="33"/>
        <v>2.3519999999999999</v>
      </c>
      <c r="L69" s="223">
        <f t="shared" si="34"/>
        <v>2.5589999999999997</v>
      </c>
      <c r="M69" s="223">
        <f t="shared" si="35"/>
        <v>2.7329999999999997</v>
      </c>
      <c r="N69" s="223">
        <f t="shared" si="36"/>
        <v>2.6670000000000003</v>
      </c>
      <c r="O69" s="223">
        <f t="shared" si="37"/>
        <v>2.3639999999999999</v>
      </c>
      <c r="P69" s="234">
        <f t="shared" si="38"/>
        <v>2.2320000000000002</v>
      </c>
      <c r="S69" s="4"/>
      <c r="T69" s="4"/>
      <c r="U69" s="4"/>
      <c r="V69" s="4"/>
      <c r="W69" s="4"/>
      <c r="X69" s="6"/>
      <c r="Y69" s="6"/>
      <c r="Z69" s="6"/>
      <c r="AA69" s="6"/>
      <c r="AB69" s="6"/>
      <c r="AC69" s="6"/>
      <c r="AD69" s="6"/>
      <c r="AE69" s="6"/>
    </row>
    <row r="70" spans="1:31" x14ac:dyDescent="0.25">
      <c r="A70" s="232">
        <v>16</v>
      </c>
      <c r="B70" s="222">
        <v>0.3</v>
      </c>
      <c r="C70" s="222">
        <f>$C$67</f>
        <v>4.2105263157894743E-2</v>
      </c>
      <c r="D70" s="217">
        <f t="shared" si="30"/>
        <v>13.5</v>
      </c>
      <c r="E70" s="217">
        <f t="shared" si="31"/>
        <v>3.3209999999999997</v>
      </c>
      <c r="F70" s="293">
        <f t="shared" si="39"/>
        <v>3.3209999999999997</v>
      </c>
      <c r="G70" s="293">
        <f t="shared" si="39"/>
        <v>3.7502999999999997</v>
      </c>
      <c r="H70" s="293">
        <f t="shared" si="39"/>
        <v>4.4711999999999996</v>
      </c>
      <c r="I70" s="486">
        <f t="shared" si="39"/>
        <v>5.0139000000000005</v>
      </c>
      <c r="J70" s="478">
        <f t="shared" si="32"/>
        <v>3.0599999999999996</v>
      </c>
      <c r="K70" s="223">
        <f t="shared" si="33"/>
        <v>3.9</v>
      </c>
      <c r="L70" s="223">
        <f t="shared" si="34"/>
        <v>4.17</v>
      </c>
      <c r="M70" s="223">
        <f t="shared" si="35"/>
        <v>4.3499999999999996</v>
      </c>
      <c r="N70" s="223">
        <f t="shared" si="36"/>
        <v>3.6599999999999997</v>
      </c>
      <c r="O70" s="223">
        <f t="shared" si="37"/>
        <v>3.24</v>
      </c>
      <c r="P70" s="234">
        <f t="shared" si="38"/>
        <v>3.0599999999999996</v>
      </c>
      <c r="S70" s="4"/>
      <c r="T70" s="4"/>
      <c r="U70" s="4"/>
      <c r="V70" s="4"/>
      <c r="W70" s="4"/>
      <c r="X70" s="6"/>
      <c r="Y70" s="6"/>
      <c r="Z70" s="6"/>
      <c r="AA70" s="6"/>
      <c r="AB70" s="6"/>
      <c r="AC70" s="6"/>
      <c r="AD70" s="6"/>
      <c r="AE70" s="6"/>
    </row>
    <row r="71" spans="1:31" x14ac:dyDescent="0.25">
      <c r="A71" s="232">
        <v>20</v>
      </c>
      <c r="B71" s="222">
        <v>0.3</v>
      </c>
      <c r="C71" s="222">
        <f>$C$67</f>
        <v>4.2105263157894743E-2</v>
      </c>
      <c r="D71" s="217">
        <f t="shared" si="30"/>
        <v>16.77</v>
      </c>
      <c r="E71" s="217">
        <f t="shared" si="31"/>
        <v>3.5558999999999994</v>
      </c>
      <c r="F71" s="293">
        <f t="shared" si="39"/>
        <v>3.5558999999999994</v>
      </c>
      <c r="G71" s="293">
        <f t="shared" si="39"/>
        <v>4.0176000000000007</v>
      </c>
      <c r="H71" s="293">
        <f t="shared" si="39"/>
        <v>4.7870999999999997</v>
      </c>
      <c r="I71" s="486">
        <f t="shared" si="39"/>
        <v>5.3702999999999994</v>
      </c>
      <c r="J71" s="478">
        <f t="shared" si="32"/>
        <v>3.75</v>
      </c>
      <c r="K71" s="223">
        <f t="shared" si="33"/>
        <v>4.26</v>
      </c>
      <c r="L71" s="223">
        <f t="shared" si="34"/>
        <v>4.59</v>
      </c>
      <c r="M71" s="223">
        <f t="shared" si="35"/>
        <v>4.83</v>
      </c>
      <c r="N71" s="223">
        <f t="shared" si="36"/>
        <v>4.3499999999999996</v>
      </c>
      <c r="O71" s="223">
        <f t="shared" si="37"/>
        <v>3.9299999999999997</v>
      </c>
      <c r="P71" s="234">
        <f t="shared" si="38"/>
        <v>3.75</v>
      </c>
      <c r="S71" s="4"/>
      <c r="T71" s="4"/>
      <c r="U71" s="4"/>
      <c r="V71" s="4"/>
      <c r="W71" s="4"/>
      <c r="X71" s="6"/>
      <c r="Y71" s="6"/>
      <c r="Z71" s="6"/>
      <c r="AA71" s="6"/>
      <c r="AB71" s="6"/>
      <c r="AC71" s="6"/>
      <c r="AD71" s="6"/>
      <c r="AE71" s="6"/>
    </row>
    <row r="72" spans="1:31" ht="16.5" thickBot="1" x14ac:dyDescent="0.3">
      <c r="A72" s="235">
        <v>26</v>
      </c>
      <c r="B72" s="236">
        <v>0.3</v>
      </c>
      <c r="C72" s="236">
        <f>$C$67</f>
        <v>4.2105263157894743E-2</v>
      </c>
      <c r="D72" s="219">
        <f t="shared" si="30"/>
        <v>21.42</v>
      </c>
      <c r="E72" s="219">
        <f t="shared" si="31"/>
        <v>5.0949</v>
      </c>
      <c r="F72" s="294">
        <f t="shared" si="39"/>
        <v>5.0949</v>
      </c>
      <c r="G72" s="294">
        <f t="shared" si="39"/>
        <v>5.7429000000000006</v>
      </c>
      <c r="H72" s="294">
        <f t="shared" si="39"/>
        <v>6.8526000000000007</v>
      </c>
      <c r="I72" s="487">
        <f t="shared" si="39"/>
        <v>7.6950000000000003</v>
      </c>
      <c r="J72" s="481">
        <f t="shared" si="32"/>
        <v>5.19</v>
      </c>
      <c r="K72" s="237">
        <f t="shared" si="33"/>
        <v>5.8199999999999994</v>
      </c>
      <c r="L72" s="237">
        <f t="shared" si="34"/>
        <v>6.24</v>
      </c>
      <c r="M72" s="237">
        <f t="shared" si="35"/>
        <v>6.5699999999999994</v>
      </c>
      <c r="N72" s="237">
        <f t="shared" si="36"/>
        <v>6.03</v>
      </c>
      <c r="O72" s="237">
        <f t="shared" si="37"/>
        <v>5.4300000000000006</v>
      </c>
      <c r="P72" s="238">
        <f t="shared" si="38"/>
        <v>5.19</v>
      </c>
      <c r="S72" s="4"/>
      <c r="T72" s="4"/>
      <c r="U72" s="4"/>
      <c r="V72" s="4"/>
      <c r="W72" s="4"/>
      <c r="X72" s="6"/>
      <c r="Y72" s="6"/>
      <c r="Z72" s="6"/>
      <c r="AA72" s="6"/>
      <c r="AB72" s="6"/>
      <c r="AC72" s="6"/>
      <c r="AD72" s="6"/>
      <c r="AE72" s="6"/>
    </row>
    <row r="73" spans="1:31" x14ac:dyDescent="0.25">
      <c r="J73" s="6"/>
      <c r="L73" s="6"/>
      <c r="M73" s="6"/>
      <c r="N73" s="6"/>
      <c r="O73" s="6"/>
      <c r="P73" s="6"/>
      <c r="Q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x14ac:dyDescent="0.25">
      <c r="J74" s="6"/>
      <c r="L74" s="6"/>
      <c r="M74" s="6"/>
      <c r="N74" s="6"/>
      <c r="O74" s="6"/>
      <c r="P74" s="6"/>
      <c r="Q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x14ac:dyDescent="0.25">
      <c r="A75" s="11" t="s">
        <v>286</v>
      </c>
      <c r="J75" s="6"/>
      <c r="L75" s="6"/>
      <c r="M75" s="6"/>
      <c r="N75" s="6"/>
      <c r="O75" s="6"/>
      <c r="P75" s="6"/>
      <c r="Q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31.5" x14ac:dyDescent="0.25">
      <c r="A76" s="12" t="s">
        <v>221</v>
      </c>
      <c r="C76" s="12" t="s">
        <v>54</v>
      </c>
      <c r="D76" s="12" t="s">
        <v>3</v>
      </c>
      <c r="E76" s="12" t="s">
        <v>40</v>
      </c>
      <c r="F76" s="12" t="s">
        <v>41</v>
      </c>
      <c r="G76" s="12" t="s">
        <v>5</v>
      </c>
      <c r="H76" s="249" t="s">
        <v>42</v>
      </c>
      <c r="I76" s="249" t="s">
        <v>43</v>
      </c>
      <c r="J76" s="249" t="s">
        <v>8</v>
      </c>
      <c r="K76" s="249" t="s">
        <v>11</v>
      </c>
      <c r="L76" s="249" t="s">
        <v>14</v>
      </c>
      <c r="M76" s="6"/>
      <c r="N76" s="656" t="s">
        <v>652</v>
      </c>
      <c r="O76" s="656" t="s">
        <v>653</v>
      </c>
      <c r="P76" s="6"/>
      <c r="Q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6.5" thickBot="1" x14ac:dyDescent="0.3">
      <c r="A77" s="12"/>
      <c r="C77" s="12"/>
      <c r="D77" s="12"/>
      <c r="E77" s="12" t="s">
        <v>6</v>
      </c>
      <c r="F77" s="12" t="s">
        <v>6</v>
      </c>
      <c r="G77" s="12" t="s">
        <v>7</v>
      </c>
      <c r="H77" s="12" t="s">
        <v>6</v>
      </c>
      <c r="I77" s="12" t="s">
        <v>6</v>
      </c>
      <c r="J77" s="12" t="s">
        <v>9</v>
      </c>
      <c r="K77" s="12" t="s">
        <v>9</v>
      </c>
      <c r="L77" s="27">
        <v>10000</v>
      </c>
      <c r="M77" s="6"/>
      <c r="N77" s="6"/>
      <c r="O77" s="6"/>
      <c r="P77" s="6"/>
      <c r="Q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x14ac:dyDescent="0.25">
      <c r="A78" s="12" t="s">
        <v>276</v>
      </c>
      <c r="C78" s="12">
        <v>8</v>
      </c>
      <c r="D78" s="8"/>
      <c r="E78" s="218">
        <v>22.4</v>
      </c>
      <c r="F78" s="13">
        <v>26</v>
      </c>
      <c r="G78" s="12"/>
      <c r="H78" s="12"/>
      <c r="I78" s="12"/>
      <c r="J78" s="12"/>
      <c r="K78" s="12"/>
      <c r="L78" s="12">
        <v>500</v>
      </c>
      <c r="M78" s="6">
        <v>20</v>
      </c>
      <c r="N78" s="6"/>
      <c r="O78" s="657">
        <v>4.4368600682593851</v>
      </c>
      <c r="P78" s="6"/>
      <c r="Q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x14ac:dyDescent="0.25">
      <c r="A79" s="12" t="s">
        <v>277</v>
      </c>
      <c r="C79" s="12">
        <v>10</v>
      </c>
      <c r="D79" s="8"/>
      <c r="E79" s="217">
        <v>28</v>
      </c>
      <c r="F79" s="13">
        <v>31</v>
      </c>
      <c r="G79" s="12"/>
      <c r="H79" s="12"/>
      <c r="I79" s="12"/>
      <c r="J79" s="12"/>
      <c r="K79" s="12"/>
      <c r="L79" s="12">
        <v>500</v>
      </c>
      <c r="M79" s="6">
        <v>20</v>
      </c>
      <c r="N79" s="6"/>
      <c r="O79" s="657">
        <v>4.2758620689655169</v>
      </c>
      <c r="P79" s="6"/>
      <c r="Q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x14ac:dyDescent="0.25">
      <c r="A80" s="12" t="s">
        <v>278</v>
      </c>
      <c r="C80" s="12">
        <v>12</v>
      </c>
      <c r="D80" s="8"/>
      <c r="E80" s="217">
        <v>33.5</v>
      </c>
      <c r="F80" s="13">
        <v>36</v>
      </c>
      <c r="G80" s="12"/>
      <c r="H80" s="12"/>
      <c r="I80" s="12"/>
      <c r="J80" s="12"/>
      <c r="K80" s="12"/>
      <c r="L80" s="12">
        <v>500</v>
      </c>
      <c r="M80" s="6">
        <v>20</v>
      </c>
      <c r="N80" s="6"/>
      <c r="O80" s="657">
        <v>4.0494938132733402</v>
      </c>
      <c r="P80" s="6"/>
      <c r="Q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x14ac:dyDescent="0.25">
      <c r="A81" s="12" t="s">
        <v>279</v>
      </c>
      <c r="C81" s="12">
        <v>16</v>
      </c>
      <c r="D81" s="8"/>
      <c r="E81" s="217">
        <v>45</v>
      </c>
      <c r="F81" s="13">
        <v>54</v>
      </c>
      <c r="G81" s="12"/>
      <c r="H81" s="12"/>
      <c r="I81" s="12"/>
      <c r="J81" s="12"/>
      <c r="K81" s="12"/>
      <c r="L81" s="12">
        <v>700</v>
      </c>
      <c r="M81" s="5">
        <v>18</v>
      </c>
      <c r="N81" s="6"/>
      <c r="O81" s="657">
        <v>4.4262295081967213</v>
      </c>
      <c r="P81" s="6"/>
      <c r="Q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x14ac:dyDescent="0.25">
      <c r="A82" s="12" t="s">
        <v>280</v>
      </c>
      <c r="C82" s="12">
        <v>20</v>
      </c>
      <c r="D82" s="8"/>
      <c r="E82" s="217">
        <v>55.9</v>
      </c>
      <c r="F82" s="13">
        <v>64</v>
      </c>
      <c r="G82" s="12"/>
      <c r="H82" s="12"/>
      <c r="I82" s="12"/>
      <c r="J82" s="12"/>
      <c r="K82" s="12"/>
      <c r="L82" s="12">
        <v>700</v>
      </c>
      <c r="M82" s="5">
        <v>18</v>
      </c>
      <c r="N82" s="6"/>
      <c r="O82" s="657">
        <v>4.4137931034482758</v>
      </c>
      <c r="P82" s="6"/>
      <c r="Q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x14ac:dyDescent="0.25">
      <c r="A83" s="12" t="s">
        <v>281</v>
      </c>
      <c r="C83" s="12">
        <v>26</v>
      </c>
      <c r="D83" s="8"/>
      <c r="E83" s="220">
        <v>71.400000000000006</v>
      </c>
      <c r="F83" s="13">
        <v>84</v>
      </c>
      <c r="G83" s="12"/>
      <c r="H83" s="12"/>
      <c r="I83" s="12"/>
      <c r="J83" s="12"/>
      <c r="K83" s="12"/>
      <c r="L83" s="12">
        <v>700</v>
      </c>
      <c r="M83" s="295" t="s">
        <v>302</v>
      </c>
      <c r="N83" s="6"/>
      <c r="O83" s="657">
        <v>4.1791044776119399</v>
      </c>
      <c r="P83" s="6"/>
      <c r="Q83" s="6"/>
    </row>
    <row r="84" spans="1:31" x14ac:dyDescent="0.25">
      <c r="A84" s="534" t="s">
        <v>287</v>
      </c>
      <c r="C84" s="12">
        <v>0</v>
      </c>
      <c r="D84" s="8"/>
      <c r="E84" s="13"/>
      <c r="F84" s="13"/>
      <c r="G84" s="12"/>
      <c r="H84" s="12"/>
      <c r="I84" s="12"/>
      <c r="J84" s="12"/>
      <c r="K84" s="12"/>
      <c r="L84" s="12"/>
      <c r="M84" s="6"/>
      <c r="N84" s="6"/>
      <c r="O84" s="6"/>
      <c r="P84" s="6"/>
      <c r="Q84" s="6"/>
    </row>
    <row r="85" spans="1:31" x14ac:dyDescent="0.25">
      <c r="A85" s="12"/>
      <c r="C85" s="12"/>
      <c r="D85" s="8"/>
      <c r="E85" s="13"/>
      <c r="F85" s="13"/>
      <c r="G85" s="12"/>
      <c r="H85" s="12"/>
      <c r="I85" s="12"/>
      <c r="J85" s="12"/>
      <c r="K85" s="12"/>
      <c r="L85" s="12"/>
      <c r="M85" s="6"/>
      <c r="N85" s="6"/>
      <c r="O85" s="6"/>
      <c r="P85" s="6"/>
      <c r="Q85" s="6"/>
    </row>
    <row r="86" spans="1:31" x14ac:dyDescent="0.25">
      <c r="A86" s="12"/>
      <c r="C86" s="12"/>
      <c r="D86" s="8"/>
      <c r="E86" s="13"/>
      <c r="F86" s="13"/>
      <c r="G86" s="12"/>
      <c r="H86" s="12"/>
      <c r="I86" s="12"/>
      <c r="J86" s="12"/>
      <c r="K86" s="12"/>
      <c r="L86" s="12"/>
      <c r="M86" s="6"/>
      <c r="N86" s="6"/>
      <c r="O86" s="6"/>
      <c r="P86" s="6"/>
      <c r="Q86" s="6"/>
    </row>
    <row r="87" spans="1:31" x14ac:dyDescent="0.25">
      <c r="A87" s="12"/>
      <c r="C87" s="12"/>
      <c r="D87" s="8"/>
      <c r="E87" s="13"/>
      <c r="F87" s="13"/>
      <c r="G87" s="12"/>
      <c r="H87" s="12"/>
      <c r="I87" s="12"/>
      <c r="J87" s="12"/>
      <c r="K87" s="12"/>
      <c r="L87" s="12"/>
      <c r="M87" s="6"/>
      <c r="N87" s="6"/>
      <c r="O87" s="6"/>
      <c r="P87" s="6"/>
      <c r="Q87" s="6"/>
    </row>
    <row r="88" spans="1:31" x14ac:dyDescent="0.25">
      <c r="A88" s="12"/>
      <c r="C88" s="12"/>
      <c r="D88" s="8"/>
      <c r="E88" s="13"/>
      <c r="F88" s="13"/>
      <c r="G88" s="12"/>
      <c r="H88" s="12"/>
      <c r="I88" s="12"/>
      <c r="J88" s="12"/>
      <c r="K88" s="12"/>
      <c r="L88" s="12"/>
      <c r="M88" s="6"/>
      <c r="N88" s="6"/>
      <c r="O88" s="6"/>
      <c r="P88" s="6"/>
      <c r="Q88" s="6"/>
    </row>
    <row r="89" spans="1:31" x14ac:dyDescent="0.25">
      <c r="A89" s="12"/>
      <c r="C89" s="12"/>
      <c r="D89" s="8"/>
      <c r="E89" s="13"/>
      <c r="F89" s="13"/>
      <c r="G89" s="12"/>
      <c r="H89" s="12"/>
      <c r="I89" s="12"/>
      <c r="J89" s="12"/>
      <c r="K89" s="12"/>
      <c r="L89" s="12"/>
      <c r="M89" s="6"/>
      <c r="N89" s="6"/>
      <c r="O89" s="6"/>
      <c r="P89" s="6"/>
      <c r="Q89" s="6"/>
    </row>
    <row r="90" spans="1:31" x14ac:dyDescent="0.25">
      <c r="J90" s="6"/>
      <c r="L90" s="6"/>
      <c r="M90" s="6"/>
      <c r="N90" s="6"/>
      <c r="O90" s="6"/>
      <c r="P90" s="6"/>
      <c r="Q90" s="6"/>
    </row>
    <row r="91" spans="1:31" x14ac:dyDescent="0.25">
      <c r="J91" s="6"/>
      <c r="L91" s="6"/>
      <c r="M91" s="6"/>
      <c r="N91" s="6"/>
      <c r="O91" s="6"/>
      <c r="P91" s="6"/>
      <c r="Q91" s="6"/>
    </row>
    <row r="92" spans="1:31" x14ac:dyDescent="0.25">
      <c r="J92" s="6"/>
      <c r="L92" s="6"/>
      <c r="M92" s="6"/>
      <c r="N92" s="6"/>
      <c r="O92" s="6"/>
      <c r="P92" s="6"/>
      <c r="Q92" s="6"/>
    </row>
    <row r="93" spans="1:31" x14ac:dyDescent="0.25">
      <c r="J93" s="6"/>
      <c r="L93" s="6"/>
      <c r="M93" s="6"/>
      <c r="N93" s="6"/>
      <c r="O93" s="6"/>
      <c r="P93" s="6"/>
      <c r="Q93" s="6"/>
    </row>
    <row r="94" spans="1:31" x14ac:dyDescent="0.25">
      <c r="J94" s="6"/>
      <c r="L94" s="6"/>
      <c r="M94" s="6"/>
      <c r="N94" s="6"/>
      <c r="O94" s="6"/>
      <c r="P94" s="6"/>
      <c r="Q94" s="6"/>
    </row>
    <row r="95" spans="1:31" x14ac:dyDescent="0.25">
      <c r="J95" s="6"/>
      <c r="L95" s="6"/>
      <c r="M95" s="6"/>
      <c r="N95" s="6"/>
      <c r="O95" s="6"/>
      <c r="P95" s="6"/>
      <c r="Q95" s="6"/>
    </row>
    <row r="96" spans="1:31" x14ac:dyDescent="0.25">
      <c r="J96" s="6"/>
      <c r="L96" s="6"/>
      <c r="M96" s="6"/>
      <c r="N96" s="6"/>
      <c r="O96" s="6"/>
      <c r="P96" s="6"/>
      <c r="Q96" s="6"/>
    </row>
    <row r="97" spans="10:17" x14ac:dyDescent="0.25">
      <c r="J97" s="6"/>
      <c r="L97" s="6"/>
      <c r="M97" s="6"/>
      <c r="N97" s="6"/>
      <c r="O97" s="6"/>
      <c r="P97" s="6"/>
      <c r="Q97" s="6"/>
    </row>
    <row r="98" spans="10:17" x14ac:dyDescent="0.25">
      <c r="J98" s="6"/>
      <c r="L98" s="6"/>
      <c r="M98" s="6"/>
      <c r="N98" s="6"/>
      <c r="O98" s="6"/>
      <c r="P98" s="6"/>
      <c r="Q98" s="6"/>
    </row>
    <row r="99" spans="10:17" x14ac:dyDescent="0.25">
      <c r="J99" s="6"/>
      <c r="L99" s="6"/>
      <c r="M99" s="6"/>
      <c r="N99" s="6"/>
      <c r="O99" s="6"/>
      <c r="P99" s="6"/>
      <c r="Q99" s="6"/>
    </row>
    <row r="100" spans="10:17" x14ac:dyDescent="0.25">
      <c r="J100" s="6"/>
      <c r="L100" s="6"/>
      <c r="M100" s="6"/>
      <c r="N100" s="6"/>
      <c r="O100" s="6"/>
      <c r="P100" s="6"/>
      <c r="Q100" s="6"/>
    </row>
    <row r="101" spans="10:17" x14ac:dyDescent="0.25">
      <c r="J101" s="6"/>
      <c r="L101" s="6"/>
      <c r="M101" s="6"/>
      <c r="N101" s="6"/>
      <c r="O101" s="6"/>
      <c r="P101" s="6"/>
      <c r="Q101" s="6"/>
    </row>
    <row r="102" spans="10:17" x14ac:dyDescent="0.25">
      <c r="J102" s="6"/>
      <c r="L102" s="6"/>
      <c r="M102" s="6"/>
      <c r="N102" s="6"/>
      <c r="O102" s="6"/>
      <c r="P102" s="6"/>
      <c r="Q102" s="6"/>
    </row>
    <row r="103" spans="10:17" x14ac:dyDescent="0.25">
      <c r="J103" s="6"/>
      <c r="L103" s="6"/>
      <c r="M103" s="6"/>
      <c r="N103" s="6"/>
      <c r="O103" s="6"/>
      <c r="P103" s="6"/>
      <c r="Q103" s="6"/>
    </row>
    <row r="104" spans="10:17" x14ac:dyDescent="0.25">
      <c r="J104" s="6"/>
      <c r="L104" s="6"/>
      <c r="M104" s="6"/>
      <c r="N104" s="6"/>
      <c r="O104" s="6"/>
      <c r="P104" s="6"/>
      <c r="Q104" s="6"/>
    </row>
    <row r="105" spans="10:17" x14ac:dyDescent="0.25">
      <c r="J105" s="6"/>
      <c r="L105" s="6"/>
      <c r="M105" s="6"/>
      <c r="N105" s="6"/>
      <c r="O105" s="6"/>
      <c r="P105" s="6"/>
      <c r="Q105" s="6"/>
    </row>
  </sheetData>
  <mergeCells count="4">
    <mergeCell ref="A9:D9"/>
    <mergeCell ref="G9:J9"/>
    <mergeCell ref="F23:I23"/>
    <mergeCell ref="K23:P23"/>
  </mergeCells>
  <phoneticPr fontId="7" type="noConversion"/>
  <pageMargins left="0.75" right="0.75" top="1" bottom="1" header="0.5" footer="0.5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O43"/>
  <sheetViews>
    <sheetView zoomScale="85" zoomScaleNormal="85" workbookViewId="0">
      <selection activeCell="G16" sqref="G16"/>
    </sheetView>
  </sheetViews>
  <sheetFormatPr defaultRowHeight="15.75" x14ac:dyDescent="0.25"/>
  <cols>
    <col min="1" max="1" width="25" style="1149" bestFit="1" customWidth="1"/>
    <col min="2" max="2" width="12.25" style="1149" customWidth="1"/>
    <col min="3" max="3" width="15.625" style="1149" bestFit="1" customWidth="1"/>
    <col min="4" max="4" width="14.625" style="1149" bestFit="1" customWidth="1"/>
    <col min="5" max="5" width="12.25" style="1149" bestFit="1" customWidth="1"/>
    <col min="6" max="6" width="18.75" style="1149" bestFit="1" customWidth="1"/>
    <col min="7" max="7" width="20.5" style="1149" bestFit="1" customWidth="1"/>
    <col min="8" max="8" width="18.625" style="1149" bestFit="1" customWidth="1"/>
    <col min="9" max="9" width="17.75" style="1149" bestFit="1" customWidth="1"/>
    <col min="10" max="10" width="15.625" style="1149" bestFit="1" customWidth="1"/>
    <col min="11" max="11" width="12.25" style="1149" bestFit="1" customWidth="1"/>
    <col min="12" max="12" width="10.5" style="1149" bestFit="1" customWidth="1"/>
    <col min="13" max="13" width="11.25" style="1149" bestFit="1" customWidth="1"/>
    <col min="14" max="14" width="12.25" style="1149" bestFit="1" customWidth="1"/>
    <col min="15" max="15" width="10.5" style="1149" bestFit="1" customWidth="1"/>
    <col min="16" max="16" width="11.25" style="3" bestFit="1" customWidth="1"/>
    <col min="17" max="17" width="12.25" style="3" bestFit="1" customWidth="1"/>
    <col min="18" max="18" width="10.5" style="3" bestFit="1" customWidth="1"/>
    <col min="19" max="19" width="11.25" style="3" bestFit="1" customWidth="1"/>
    <col min="20" max="16384" width="9" style="3"/>
  </cols>
  <sheetData>
    <row r="1" spans="1:15" x14ac:dyDescent="0.25">
      <c r="A1" s="1148"/>
      <c r="B1" s="1148"/>
      <c r="C1" s="1148"/>
      <c r="D1" s="1148"/>
      <c r="E1" s="1148"/>
      <c r="F1" s="1148"/>
      <c r="G1" s="1148"/>
      <c r="H1" s="1148"/>
      <c r="I1" s="1148"/>
      <c r="J1" s="1148"/>
    </row>
    <row r="2" spans="1:15" x14ac:dyDescent="0.25">
      <c r="A2" s="1150" t="s">
        <v>18</v>
      </c>
      <c r="B2" s="1148"/>
      <c r="C2" s="1148"/>
      <c r="D2" s="1148"/>
      <c r="E2" s="1148"/>
      <c r="F2" s="1148"/>
      <c r="G2" s="1150" t="s">
        <v>19</v>
      </c>
      <c r="H2" s="1148"/>
      <c r="I2" s="1151" t="s">
        <v>485</v>
      </c>
      <c r="J2" s="1152"/>
    </row>
    <row r="3" spans="1:15" x14ac:dyDescent="0.25">
      <c r="A3" s="1148"/>
      <c r="B3" s="1148"/>
      <c r="C3" s="1148"/>
      <c r="D3" s="1148"/>
      <c r="E3" s="1148"/>
      <c r="F3" s="1148"/>
      <c r="G3" s="1148"/>
      <c r="H3" s="1148"/>
      <c r="I3" s="1153"/>
      <c r="J3" s="1091"/>
    </row>
    <row r="4" spans="1:15" ht="19.5" customHeight="1" x14ac:dyDescent="0.25">
      <c r="A4" s="1148" t="s">
        <v>543</v>
      </c>
      <c r="B4" s="1148" t="s">
        <v>31</v>
      </c>
      <c r="C4" s="1148" t="s">
        <v>208</v>
      </c>
      <c r="D4" s="1148">
        <v>9.4499999999999993</v>
      </c>
      <c r="E4" s="1148"/>
      <c r="F4" s="1148">
        <v>1</v>
      </c>
      <c r="G4" s="1148" t="s">
        <v>535</v>
      </c>
      <c r="H4" s="1148"/>
      <c r="I4" s="1153" t="s">
        <v>486</v>
      </c>
      <c r="J4" s="1154">
        <v>0.5</v>
      </c>
    </row>
    <row r="5" spans="1:15" x14ac:dyDescent="0.25">
      <c r="A5" s="1148" t="s">
        <v>239</v>
      </c>
      <c r="B5" s="1148" t="s">
        <v>1</v>
      </c>
      <c r="C5" s="1148" t="s">
        <v>209</v>
      </c>
      <c r="D5" s="1148">
        <v>12.86</v>
      </c>
      <c r="E5" s="1148"/>
      <c r="F5" s="1148">
        <v>2</v>
      </c>
      <c r="G5" s="1148" t="s">
        <v>536</v>
      </c>
      <c r="H5" s="1148"/>
      <c r="I5" s="1153" t="s">
        <v>487</v>
      </c>
      <c r="J5" s="1154">
        <v>1.87</v>
      </c>
    </row>
    <row r="6" spans="1:15" ht="19.5" customHeight="1" x14ac:dyDescent="0.25">
      <c r="A6" s="1148" t="s">
        <v>238</v>
      </c>
      <c r="B6" s="1148" t="s">
        <v>1</v>
      </c>
      <c r="C6" s="1148" t="s">
        <v>209</v>
      </c>
      <c r="D6" s="1148">
        <v>15.06</v>
      </c>
      <c r="E6" s="1148"/>
      <c r="F6" s="1148">
        <v>3</v>
      </c>
      <c r="G6" s="1148" t="s">
        <v>537</v>
      </c>
      <c r="H6" s="1148"/>
      <c r="I6" s="1153" t="s">
        <v>239</v>
      </c>
      <c r="J6" s="1154">
        <v>3</v>
      </c>
    </row>
    <row r="7" spans="1:15" x14ac:dyDescent="0.25">
      <c r="A7" s="1148"/>
      <c r="B7" s="1148"/>
      <c r="C7" s="1148"/>
      <c r="D7" s="1148"/>
      <c r="E7" s="1148"/>
      <c r="F7" s="1148">
        <v>4</v>
      </c>
      <c r="G7" s="1148" t="s">
        <v>538</v>
      </c>
      <c r="H7" s="1148"/>
      <c r="I7" s="1153"/>
      <c r="J7" s="1091"/>
    </row>
    <row r="8" spans="1:15" x14ac:dyDescent="0.25">
      <c r="A8" s="1148" t="s">
        <v>346</v>
      </c>
      <c r="B8" s="1148"/>
      <c r="C8" s="1148">
        <v>0.92</v>
      </c>
      <c r="D8" s="1148"/>
      <c r="E8" s="1148"/>
      <c r="F8" s="1148">
        <v>5</v>
      </c>
      <c r="G8" s="1148" t="s">
        <v>314</v>
      </c>
      <c r="H8" s="1148"/>
      <c r="I8" s="1153"/>
      <c r="J8" s="1091"/>
    </row>
    <row r="9" spans="1:15" x14ac:dyDescent="0.25">
      <c r="A9" s="1148"/>
      <c r="B9" s="1148"/>
      <c r="C9" s="1148"/>
      <c r="D9" s="1148"/>
      <c r="E9" s="1148"/>
      <c r="F9" s="1148"/>
      <c r="G9" s="1148"/>
      <c r="H9" s="1148"/>
      <c r="I9" s="1153"/>
      <c r="J9" s="1091"/>
    </row>
    <row r="10" spans="1:15" x14ac:dyDescent="0.25">
      <c r="A10" s="1148"/>
      <c r="B10" s="1148"/>
      <c r="C10" s="1148"/>
      <c r="D10" s="1148"/>
      <c r="E10" s="1148"/>
      <c r="F10" s="1148"/>
      <c r="G10" s="1148"/>
      <c r="H10" s="1148"/>
      <c r="I10" s="1153"/>
      <c r="J10" s="1091"/>
    </row>
    <row r="11" spans="1:15" x14ac:dyDescent="0.25">
      <c r="A11" s="1148"/>
      <c r="B11" s="1148"/>
      <c r="C11" s="1148"/>
      <c r="D11" s="1148"/>
      <c r="E11" s="1148"/>
      <c r="F11" s="1148"/>
      <c r="G11" s="1148"/>
      <c r="H11" s="1148"/>
    </row>
    <row r="12" spans="1:15" x14ac:dyDescent="0.25">
      <c r="A12" s="1150" t="s">
        <v>20</v>
      </c>
      <c r="B12" s="1148"/>
      <c r="C12" s="1148"/>
      <c r="D12" s="1148"/>
      <c r="E12" s="1148"/>
      <c r="F12" s="1148"/>
      <c r="G12" s="1148"/>
      <c r="H12" s="1148"/>
    </row>
    <row r="13" spans="1:15" x14ac:dyDescent="0.25">
      <c r="A13" s="1148" t="s">
        <v>2</v>
      </c>
      <c r="B13" s="1148" t="s">
        <v>54</v>
      </c>
      <c r="C13" s="1148" t="s">
        <v>3</v>
      </c>
      <c r="D13" s="1148" t="s">
        <v>40</v>
      </c>
      <c r="E13" s="1148" t="s">
        <v>41</v>
      </c>
      <c r="F13" s="1148" t="s">
        <v>5</v>
      </c>
      <c r="G13" s="1148" t="s">
        <v>42</v>
      </c>
      <c r="H13" s="1148" t="s">
        <v>43</v>
      </c>
      <c r="I13" s="1148" t="s">
        <v>8</v>
      </c>
      <c r="J13" s="1148" t="s">
        <v>11</v>
      </c>
      <c r="K13" s="1148" t="s">
        <v>14</v>
      </c>
      <c r="N13" s="1155" t="s">
        <v>646</v>
      </c>
      <c r="O13" s="1155" t="s">
        <v>647</v>
      </c>
    </row>
    <row r="14" spans="1:15" x14ac:dyDescent="0.25">
      <c r="A14" s="1148"/>
      <c r="B14" s="1148"/>
      <c r="C14" s="1148"/>
      <c r="D14" s="1148" t="s">
        <v>6</v>
      </c>
      <c r="E14" s="1148" t="s">
        <v>6</v>
      </c>
      <c r="F14" s="1148" t="s">
        <v>7</v>
      </c>
      <c r="G14" s="1148" t="s">
        <v>6</v>
      </c>
      <c r="H14" s="1148" t="s">
        <v>6</v>
      </c>
      <c r="I14" s="1148" t="s">
        <v>55</v>
      </c>
      <c r="J14" s="1148" t="s">
        <v>9</v>
      </c>
      <c r="K14" s="1156">
        <v>10000</v>
      </c>
      <c r="L14" s="1155" t="s">
        <v>72</v>
      </c>
      <c r="M14" s="1155" t="s">
        <v>488</v>
      </c>
      <c r="N14" s="1155"/>
      <c r="O14" s="1155"/>
    </row>
    <row r="15" spans="1:15" s="8" customFormat="1" x14ac:dyDescent="0.25">
      <c r="A15" s="1148" t="s">
        <v>681</v>
      </c>
      <c r="B15" s="1148">
        <v>8</v>
      </c>
      <c r="C15" s="1157"/>
      <c r="D15" s="1158">
        <v>22.4</v>
      </c>
      <c r="E15" s="1158">
        <v>25</v>
      </c>
      <c r="F15" s="1148" t="s">
        <v>539</v>
      </c>
      <c r="G15" s="1148">
        <v>0.34</v>
      </c>
      <c r="H15" s="1148">
        <v>0.42</v>
      </c>
      <c r="I15" s="1148">
        <v>15</v>
      </c>
      <c r="J15" s="1148">
        <v>15.9</v>
      </c>
      <c r="K15" s="1161">
        <v>850</v>
      </c>
      <c r="L15" s="1157"/>
      <c r="M15" s="1148">
        <v>8</v>
      </c>
      <c r="N15" s="1148">
        <v>1.49</v>
      </c>
      <c r="O15" s="1148">
        <v>1.57</v>
      </c>
    </row>
    <row r="16" spans="1:15" s="8" customFormat="1" x14ac:dyDescent="0.25">
      <c r="A16" s="1148" t="s">
        <v>682</v>
      </c>
      <c r="B16" s="1148">
        <v>10</v>
      </c>
      <c r="C16" s="1157"/>
      <c r="D16" s="1158">
        <v>28</v>
      </c>
      <c r="E16" s="1158">
        <v>31.5</v>
      </c>
      <c r="F16" s="1148" t="s">
        <v>540</v>
      </c>
      <c r="G16" s="1148">
        <v>0.44</v>
      </c>
      <c r="H16" s="1148">
        <v>0.57999999999999996</v>
      </c>
      <c r="I16" s="1148">
        <v>19.2</v>
      </c>
      <c r="J16" s="1148">
        <v>20.3</v>
      </c>
      <c r="K16" s="1161">
        <v>850</v>
      </c>
      <c r="L16" s="1157"/>
      <c r="M16" s="1148">
        <v>10</v>
      </c>
      <c r="N16" s="1148">
        <v>1.46</v>
      </c>
      <c r="O16" s="1148">
        <v>1.55</v>
      </c>
    </row>
    <row r="17" spans="1:15" s="8" customFormat="1" x14ac:dyDescent="0.25">
      <c r="A17" s="1148" t="s">
        <v>683</v>
      </c>
      <c r="B17" s="1148">
        <v>13</v>
      </c>
      <c r="C17" s="1157"/>
      <c r="D17" s="1158">
        <v>35.5</v>
      </c>
      <c r="E17" s="1158">
        <v>40</v>
      </c>
      <c r="F17" s="1148" t="s">
        <v>541</v>
      </c>
      <c r="G17" s="1148">
        <v>0.56999999999999995</v>
      </c>
      <c r="H17" s="1148">
        <v>0.74</v>
      </c>
      <c r="I17" s="1148">
        <v>26.4</v>
      </c>
      <c r="J17" s="1148">
        <v>27</v>
      </c>
      <c r="K17" s="1161">
        <v>850</v>
      </c>
      <c r="L17" s="1157"/>
      <c r="M17" s="1148">
        <v>13.5</v>
      </c>
      <c r="N17" s="1148">
        <v>1.34</v>
      </c>
      <c r="O17" s="1148">
        <v>1.48</v>
      </c>
    </row>
    <row r="18" spans="1:15" s="8" customFormat="1" x14ac:dyDescent="0.25">
      <c r="A18" s="1148" t="s">
        <v>684</v>
      </c>
      <c r="B18" s="1148">
        <v>16</v>
      </c>
      <c r="C18" s="1157"/>
      <c r="D18" s="1158">
        <v>45</v>
      </c>
      <c r="E18" s="1158">
        <v>50</v>
      </c>
      <c r="F18" s="1148" t="s">
        <v>695</v>
      </c>
      <c r="G18" s="1148">
        <v>1.06</v>
      </c>
      <c r="H18" s="1148">
        <v>1.02</v>
      </c>
      <c r="I18" s="1148">
        <v>31.4</v>
      </c>
      <c r="J18" s="1148">
        <v>29.8</v>
      </c>
      <c r="K18" s="1161">
        <v>1100</v>
      </c>
      <c r="L18" s="1157"/>
      <c r="M18" s="1148">
        <v>16.5</v>
      </c>
      <c r="N18" s="1148">
        <v>1.43</v>
      </c>
      <c r="O18" s="1148">
        <v>1.68</v>
      </c>
    </row>
    <row r="19" spans="1:15" s="8" customFormat="1" x14ac:dyDescent="0.25">
      <c r="A19" s="1148" t="s">
        <v>685</v>
      </c>
      <c r="B19" s="1148">
        <v>20</v>
      </c>
      <c r="C19" s="1157"/>
      <c r="D19" s="1158">
        <v>56</v>
      </c>
      <c r="E19" s="1158">
        <v>63</v>
      </c>
      <c r="F19" s="1148" t="s">
        <v>541</v>
      </c>
      <c r="G19" s="1148">
        <v>1.1000000000000001</v>
      </c>
      <c r="H19" s="1148">
        <v>1.02</v>
      </c>
      <c r="I19" s="1148">
        <v>38.9</v>
      </c>
      <c r="J19" s="1148">
        <v>38.1</v>
      </c>
      <c r="K19" s="1161">
        <v>1100</v>
      </c>
      <c r="L19" s="1157"/>
      <c r="M19" s="1148">
        <v>20</v>
      </c>
      <c r="N19" s="1148">
        <v>1.44</v>
      </c>
      <c r="O19" s="1148">
        <v>1.65</v>
      </c>
    </row>
    <row r="20" spans="1:15" s="8" customFormat="1" x14ac:dyDescent="0.25">
      <c r="A20" s="1148" t="s">
        <v>686</v>
      </c>
      <c r="B20" s="1148">
        <v>25</v>
      </c>
      <c r="C20" s="1157"/>
      <c r="D20" s="1158">
        <v>71</v>
      </c>
      <c r="E20" s="1158">
        <v>80</v>
      </c>
      <c r="F20" s="1148" t="s">
        <v>542</v>
      </c>
      <c r="G20" s="1148">
        <v>1.37</v>
      </c>
      <c r="H20" s="1148">
        <v>1.18</v>
      </c>
      <c r="I20" s="1148">
        <v>54.4</v>
      </c>
      <c r="J20" s="1148">
        <v>53.9</v>
      </c>
      <c r="K20" s="1161">
        <v>1100</v>
      </c>
      <c r="L20" s="1157"/>
      <c r="M20" s="1148">
        <v>25</v>
      </c>
      <c r="N20" s="1148">
        <v>1.31</v>
      </c>
      <c r="O20" s="1148">
        <v>1.48</v>
      </c>
    </row>
    <row r="21" spans="1:15" s="8" customFormat="1" x14ac:dyDescent="0.25">
      <c r="A21" s="1148" t="s">
        <v>694</v>
      </c>
      <c r="B21" s="1148">
        <v>30</v>
      </c>
      <c r="C21" s="1157"/>
      <c r="D21" s="1158">
        <v>85</v>
      </c>
      <c r="E21" s="1158">
        <v>95</v>
      </c>
      <c r="F21" s="1148" t="s">
        <v>696</v>
      </c>
      <c r="G21" s="1148">
        <v>1.49</v>
      </c>
      <c r="H21" s="1148">
        <v>1.1200000000000001</v>
      </c>
      <c r="I21" s="1148">
        <v>71.2</v>
      </c>
      <c r="J21" s="1148">
        <v>68</v>
      </c>
      <c r="K21" s="1161">
        <v>1300</v>
      </c>
      <c r="L21" s="1157"/>
      <c r="M21" s="1148">
        <v>30</v>
      </c>
      <c r="N21" s="1148">
        <v>1.19</v>
      </c>
      <c r="O21" s="1148">
        <v>1.4</v>
      </c>
    </row>
    <row r="22" spans="1:15" s="8" customFormat="1" x14ac:dyDescent="0.25">
      <c r="A22" s="1148" t="s">
        <v>687</v>
      </c>
      <c r="B22" s="1148">
        <v>8</v>
      </c>
      <c r="C22" s="1157"/>
      <c r="D22" s="1158">
        <v>21</v>
      </c>
      <c r="E22" s="1158">
        <v>23.5</v>
      </c>
      <c r="F22" s="1148" t="s">
        <v>539</v>
      </c>
      <c r="G22" s="1148">
        <v>0.34</v>
      </c>
      <c r="H22" s="1148">
        <v>0.42</v>
      </c>
      <c r="I22" s="1148">
        <v>15.3</v>
      </c>
      <c r="J22" s="1148">
        <v>15.5</v>
      </c>
      <c r="K22" s="1161">
        <v>850</v>
      </c>
      <c r="L22" s="1157"/>
      <c r="M22" s="1148">
        <v>8</v>
      </c>
      <c r="N22" s="1148">
        <v>1.37</v>
      </c>
      <c r="O22" s="1148">
        <v>1.52</v>
      </c>
    </row>
    <row r="23" spans="1:15" s="8" customFormat="1" x14ac:dyDescent="0.25">
      <c r="A23" s="1148" t="s">
        <v>688</v>
      </c>
      <c r="B23" s="1148">
        <v>10</v>
      </c>
      <c r="C23" s="1157"/>
      <c r="D23" s="1158">
        <v>26.5</v>
      </c>
      <c r="E23" s="1158">
        <v>30</v>
      </c>
      <c r="F23" s="1148" t="s">
        <v>540</v>
      </c>
      <c r="G23" s="1148">
        <v>0.44</v>
      </c>
      <c r="H23" s="1148">
        <v>0.57999999999999996</v>
      </c>
      <c r="I23" s="1148">
        <v>20</v>
      </c>
      <c r="J23" s="1148">
        <v>20.2</v>
      </c>
      <c r="K23" s="1161">
        <v>850</v>
      </c>
      <c r="L23" s="1157"/>
      <c r="M23" s="1148">
        <v>10</v>
      </c>
      <c r="N23" s="1148">
        <v>1.33</v>
      </c>
      <c r="O23" s="1148">
        <v>1.48</v>
      </c>
    </row>
    <row r="24" spans="1:15" s="8" customFormat="1" x14ac:dyDescent="0.25">
      <c r="A24" s="1148" t="s">
        <v>689</v>
      </c>
      <c r="B24" s="1148">
        <v>13</v>
      </c>
      <c r="C24" s="1157"/>
      <c r="D24" s="1158">
        <v>33.5</v>
      </c>
      <c r="E24" s="1158">
        <v>37.5</v>
      </c>
      <c r="F24" s="1148" t="s">
        <v>541</v>
      </c>
      <c r="G24" s="1148">
        <v>0.56999999999999995</v>
      </c>
      <c r="H24" s="1148">
        <v>0.74</v>
      </c>
      <c r="I24" s="1148">
        <v>27.7</v>
      </c>
      <c r="J24" s="1148">
        <v>20.7</v>
      </c>
      <c r="K24" s="1161">
        <v>850</v>
      </c>
      <c r="L24" s="1157"/>
      <c r="M24" s="1148">
        <v>13.5</v>
      </c>
      <c r="N24" s="1148">
        <v>1.21</v>
      </c>
      <c r="O24" s="1148">
        <v>1.39</v>
      </c>
    </row>
    <row r="25" spans="1:15" s="8" customFormat="1" x14ac:dyDescent="0.25">
      <c r="A25" s="1148" t="s">
        <v>690</v>
      </c>
      <c r="B25" s="1148">
        <v>16</v>
      </c>
      <c r="C25" s="1157"/>
      <c r="D25" s="1158">
        <v>42.5</v>
      </c>
      <c r="E25" s="1158">
        <v>50</v>
      </c>
      <c r="F25" s="1148" t="s">
        <v>695</v>
      </c>
      <c r="G25" s="1148">
        <v>1.06</v>
      </c>
      <c r="H25" s="1148">
        <v>1.02</v>
      </c>
      <c r="I25" s="1148">
        <v>30</v>
      </c>
      <c r="J25" s="1148">
        <v>34</v>
      </c>
      <c r="K25" s="1161">
        <v>1100</v>
      </c>
      <c r="L25" s="1157"/>
      <c r="M25" s="1148">
        <v>16.5</v>
      </c>
      <c r="N25" s="1148">
        <v>1.42</v>
      </c>
      <c r="O25" s="1148">
        <v>1.47</v>
      </c>
    </row>
    <row r="26" spans="1:15" s="8" customFormat="1" x14ac:dyDescent="0.25">
      <c r="A26" s="1148" t="s">
        <v>691</v>
      </c>
      <c r="B26" s="1148">
        <v>20</v>
      </c>
      <c r="C26" s="1157"/>
      <c r="D26" s="1158">
        <v>53</v>
      </c>
      <c r="E26" s="1158">
        <v>62.5</v>
      </c>
      <c r="F26" s="1148" t="s">
        <v>541</v>
      </c>
      <c r="G26" s="1148">
        <v>1.1000000000000001</v>
      </c>
      <c r="H26" s="1148">
        <v>1.02</v>
      </c>
      <c r="I26" s="1148">
        <v>43</v>
      </c>
      <c r="J26" s="1148">
        <v>42.5</v>
      </c>
      <c r="K26" s="1161">
        <v>1100</v>
      </c>
      <c r="L26" s="1157"/>
      <c r="M26" s="1148">
        <v>20</v>
      </c>
      <c r="N26" s="1148">
        <v>1.23</v>
      </c>
      <c r="O26" s="1148">
        <v>1.47</v>
      </c>
    </row>
    <row r="27" spans="1:15" s="8" customFormat="1" x14ac:dyDescent="0.25">
      <c r="A27" s="1148" t="s">
        <v>692</v>
      </c>
      <c r="B27" s="1148">
        <v>25</v>
      </c>
      <c r="C27" s="1157"/>
      <c r="D27" s="1158">
        <v>63.5</v>
      </c>
      <c r="E27" s="1158">
        <v>77</v>
      </c>
      <c r="F27" s="1148" t="s">
        <v>542</v>
      </c>
      <c r="G27" s="1148">
        <v>1.37</v>
      </c>
      <c r="H27" s="1148">
        <v>1.18</v>
      </c>
      <c r="I27" s="1148">
        <v>56</v>
      </c>
      <c r="J27" s="1148">
        <v>54.2</v>
      </c>
      <c r="K27" s="1161">
        <v>1100</v>
      </c>
      <c r="L27" s="1157"/>
      <c r="M27" s="1148">
        <v>25</v>
      </c>
      <c r="N27" s="1148">
        <v>1.1299999999999999</v>
      </c>
      <c r="O27" s="1148">
        <v>1.42</v>
      </c>
    </row>
    <row r="28" spans="1:15" s="8" customFormat="1" x14ac:dyDescent="0.25">
      <c r="A28" s="1148" t="s">
        <v>693</v>
      </c>
      <c r="B28" s="1148">
        <v>30</v>
      </c>
      <c r="C28" s="1157"/>
      <c r="D28" s="1158">
        <v>74.5</v>
      </c>
      <c r="E28" s="1158">
        <v>87.5</v>
      </c>
      <c r="F28" s="1148" t="s">
        <v>696</v>
      </c>
      <c r="G28" s="1148">
        <v>1.49</v>
      </c>
      <c r="H28" s="1148">
        <v>1.1200000000000001</v>
      </c>
      <c r="I28" s="1148">
        <v>70.7</v>
      </c>
      <c r="J28" s="1148">
        <v>61.5</v>
      </c>
      <c r="K28" s="1161">
        <v>1300</v>
      </c>
      <c r="L28" s="1157"/>
      <c r="M28" s="1148">
        <v>30</v>
      </c>
      <c r="N28" s="1148">
        <v>1.05</v>
      </c>
      <c r="O28" s="1148">
        <v>1.42</v>
      </c>
    </row>
    <row r="29" spans="1:15" x14ac:dyDescent="0.25">
      <c r="B29" s="1149">
        <v>0</v>
      </c>
    </row>
    <row r="32" spans="1:15" x14ac:dyDescent="0.25">
      <c r="C32" s="1159"/>
      <c r="G32" s="1148"/>
      <c r="H32" s="1148"/>
    </row>
    <row r="33" spans="3:9" x14ac:dyDescent="0.25">
      <c r="C33" s="1159"/>
      <c r="G33" s="1148"/>
      <c r="H33" s="1148"/>
      <c r="I33" s="1148"/>
    </row>
    <row r="34" spans="3:9" x14ac:dyDescent="0.25">
      <c r="C34" s="1159"/>
      <c r="G34" s="1148"/>
      <c r="H34" s="1148"/>
      <c r="I34" s="1148"/>
    </row>
    <row r="35" spans="3:9" x14ac:dyDescent="0.25">
      <c r="C35" s="1159"/>
      <c r="G35" s="1148"/>
      <c r="H35" s="1148"/>
      <c r="I35" s="1148"/>
    </row>
    <row r="36" spans="3:9" x14ac:dyDescent="0.25">
      <c r="C36" s="1159"/>
      <c r="G36" s="1148"/>
      <c r="H36" s="1148"/>
      <c r="I36" s="1148"/>
    </row>
    <row r="37" spans="3:9" x14ac:dyDescent="0.25">
      <c r="C37" s="1159"/>
      <c r="G37" s="1148"/>
      <c r="H37" s="1148"/>
      <c r="I37" s="1148"/>
    </row>
    <row r="38" spans="3:9" x14ac:dyDescent="0.25">
      <c r="C38" s="1159"/>
      <c r="I38" s="1148"/>
    </row>
    <row r="39" spans="3:9" x14ac:dyDescent="0.25">
      <c r="C39" s="1159"/>
    </row>
    <row r="40" spans="3:9" x14ac:dyDescent="0.25">
      <c r="C40" s="1159"/>
    </row>
    <row r="41" spans="3:9" x14ac:dyDescent="0.25">
      <c r="C41" s="1159"/>
    </row>
    <row r="42" spans="3:9" x14ac:dyDescent="0.25">
      <c r="C42" s="1159"/>
    </row>
    <row r="43" spans="3:9" x14ac:dyDescent="0.25">
      <c r="C43" s="1160"/>
    </row>
  </sheetData>
  <phoneticPr fontId="7" type="noConversion"/>
  <pageMargins left="0.75" right="0.75" top="1" bottom="1" header="0.5" footer="0.5"/>
  <pageSetup paperSize="9" orientation="portrait" horizontalDpi="3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7"/>
  <dimension ref="A2:Z112"/>
  <sheetViews>
    <sheetView workbookViewId="0"/>
  </sheetViews>
  <sheetFormatPr defaultRowHeight="15.75" x14ac:dyDescent="0.25"/>
  <cols>
    <col min="1" max="1" width="9.5" style="747" bestFit="1" customWidth="1"/>
    <col min="2" max="2" width="15.25" style="747" bestFit="1" customWidth="1"/>
    <col min="3" max="3" width="12.625" style="747" bestFit="1" customWidth="1"/>
    <col min="4" max="4" width="12.75" style="747" bestFit="1" customWidth="1"/>
    <col min="5" max="5" width="11.875" style="747" bestFit="1" customWidth="1"/>
    <col min="6" max="6" width="12.75" style="747" bestFit="1" customWidth="1"/>
    <col min="7" max="7" width="12.375" style="747" bestFit="1" customWidth="1"/>
    <col min="8" max="8" width="9.625" style="747" bestFit="1" customWidth="1"/>
    <col min="9" max="9" width="10.625" style="747" bestFit="1" customWidth="1"/>
    <col min="10" max="10" width="9" style="747"/>
    <col min="11" max="11" width="5.875" style="1090" bestFit="1" customWidth="1"/>
    <col min="12" max="15" width="9" style="747"/>
    <col min="16" max="16" width="10.625" style="747" bestFit="1" customWidth="1"/>
    <col min="17" max="26" width="9" style="747"/>
  </cols>
  <sheetData>
    <row r="2" spans="1:16" x14ac:dyDescent="0.25">
      <c r="C2" s="747" t="s">
        <v>47</v>
      </c>
      <c r="E2" s="747" t="s">
        <v>50</v>
      </c>
      <c r="G2" s="747" t="s">
        <v>51</v>
      </c>
      <c r="H2" s="747" t="s">
        <v>52</v>
      </c>
    </row>
    <row r="3" spans="1:16" x14ac:dyDescent="0.25">
      <c r="A3" s="747" t="s">
        <v>45</v>
      </c>
      <c r="B3" s="747" t="s">
        <v>46</v>
      </c>
      <c r="C3" s="747" t="s">
        <v>48</v>
      </c>
      <c r="D3" s="747" t="s">
        <v>49</v>
      </c>
      <c r="E3" s="747" t="s">
        <v>48</v>
      </c>
      <c r="F3" s="747" t="s">
        <v>49</v>
      </c>
    </row>
    <row r="4" spans="1:16" x14ac:dyDescent="0.25">
      <c r="C4" s="747" t="s">
        <v>55</v>
      </c>
      <c r="D4" s="747" t="s">
        <v>53</v>
      </c>
      <c r="E4" s="747" t="s">
        <v>53</v>
      </c>
      <c r="F4" s="747" t="s">
        <v>53</v>
      </c>
      <c r="G4" s="747" t="s">
        <v>53</v>
      </c>
      <c r="H4" s="747" t="s">
        <v>13</v>
      </c>
    </row>
    <row r="6" spans="1:16" x14ac:dyDescent="0.25">
      <c r="C6" s="1091"/>
    </row>
    <row r="7" spans="1:16" x14ac:dyDescent="0.25">
      <c r="C7" s="1091"/>
    </row>
    <row r="8" spans="1:16" ht="16.5" thickBot="1" x14ac:dyDescent="0.3">
      <c r="C8" s="1091"/>
    </row>
    <row r="9" spans="1:16" x14ac:dyDescent="0.25">
      <c r="A9" s="1212" t="s">
        <v>69</v>
      </c>
      <c r="B9" s="1213"/>
      <c r="C9" s="1213"/>
      <c r="D9" s="1214"/>
      <c r="E9" s="1090"/>
      <c r="F9" s="1090"/>
      <c r="G9" s="1212" t="s">
        <v>68</v>
      </c>
      <c r="H9" s="1213"/>
      <c r="I9" s="1213"/>
      <c r="J9" s="1214"/>
      <c r="M9" s="1092"/>
      <c r="N9" s="1093"/>
      <c r="O9" s="1093"/>
      <c r="P9" s="1094"/>
    </row>
    <row r="10" spans="1:16" ht="18.75" x14ac:dyDescent="0.25">
      <c r="A10" s="1095"/>
      <c r="B10" s="1096" t="s">
        <v>70</v>
      </c>
      <c r="C10" s="1097"/>
      <c r="D10" s="1098"/>
      <c r="E10" s="1090"/>
      <c r="F10" s="1090"/>
      <c r="G10" s="1095"/>
      <c r="H10" s="1096" t="s">
        <v>56</v>
      </c>
      <c r="I10" s="1097"/>
      <c r="J10" s="1098"/>
      <c r="M10" s="1099"/>
      <c r="N10" s="1100"/>
      <c r="O10" s="1031" t="s">
        <v>675</v>
      </c>
      <c r="P10" s="1101"/>
    </row>
    <row r="11" spans="1:16" ht="18.75" x14ac:dyDescent="0.25">
      <c r="A11" s="1095"/>
      <c r="B11" s="1096"/>
      <c r="C11" s="1102" t="s">
        <v>676</v>
      </c>
      <c r="D11" s="1103">
        <f>('2-Dati generali-Cond. utilizzo'!$D$19-20)/7</f>
        <v>-2.8571428571428572</v>
      </c>
      <c r="E11" s="1090" t="s">
        <v>677</v>
      </c>
      <c r="F11" s="1090" t="s">
        <v>57</v>
      </c>
      <c r="G11" s="1095"/>
      <c r="H11" s="1096"/>
      <c r="I11" s="1102" t="s">
        <v>676</v>
      </c>
      <c r="J11" s="1103">
        <f>(18-'2-Dati generali-Cond. utilizzo'!$D$17)/7</f>
        <v>2.5714285714285716</v>
      </c>
      <c r="K11" s="1104"/>
      <c r="M11" s="1105" t="s">
        <v>73</v>
      </c>
      <c r="N11" s="1031" t="s">
        <v>678</v>
      </c>
      <c r="O11" s="1031"/>
      <c r="P11" s="1032" t="s">
        <v>679</v>
      </c>
    </row>
    <row r="12" spans="1:16" ht="19.5" thickBot="1" x14ac:dyDescent="0.3">
      <c r="A12" s="1095"/>
      <c r="B12" s="1096">
        <v>7</v>
      </c>
      <c r="C12" s="1097"/>
      <c r="D12" s="1098"/>
      <c r="E12" s="1090"/>
      <c r="F12" s="1090"/>
      <c r="G12" s="1095"/>
      <c r="H12" s="1096">
        <v>7</v>
      </c>
      <c r="I12" s="1097"/>
      <c r="J12" s="1098"/>
      <c r="M12" s="1106"/>
      <c r="N12" s="1107"/>
      <c r="O12" s="1033" t="s">
        <v>680</v>
      </c>
      <c r="P12" s="1108"/>
    </row>
    <row r="13" spans="1:16" x14ac:dyDescent="0.25">
      <c r="A13" s="1109" t="s">
        <v>66</v>
      </c>
      <c r="B13" s="1110">
        <f>'2-Dati generali-Cond. utilizzo'!D19</f>
        <v>0</v>
      </c>
      <c r="C13" s="1111">
        <v>1</v>
      </c>
      <c r="D13" s="1098"/>
      <c r="E13" s="1090"/>
      <c r="F13" s="1090"/>
      <c r="G13" s="1109" t="s">
        <v>66</v>
      </c>
      <c r="H13" s="1110">
        <f>'2-Dati generali-Cond. utilizzo'!D17</f>
        <v>0</v>
      </c>
      <c r="I13" s="1111">
        <v>1</v>
      </c>
      <c r="J13" s="1098"/>
      <c r="M13" s="1112"/>
      <c r="N13" s="1112"/>
      <c r="O13" s="1112"/>
      <c r="P13" s="1112"/>
    </row>
    <row r="14" spans="1:16" x14ac:dyDescent="0.25">
      <c r="A14" s="1109" t="s">
        <v>60</v>
      </c>
      <c r="B14" s="1110">
        <f>B13-$D$11</f>
        <v>2.8571428571428572</v>
      </c>
      <c r="C14" s="1111">
        <v>0.9</v>
      </c>
      <c r="D14" s="1098"/>
      <c r="E14" s="1090"/>
      <c r="F14" s="1090"/>
      <c r="G14" s="1109" t="s">
        <v>60</v>
      </c>
      <c r="H14" s="1110">
        <f t="shared" ref="H14:H20" si="0">H13+$J$11</f>
        <v>2.5714285714285716</v>
      </c>
      <c r="I14" s="1111">
        <v>0.9</v>
      </c>
      <c r="J14" s="1098"/>
    </row>
    <row r="15" spans="1:16" x14ac:dyDescent="0.25">
      <c r="A15" s="1109" t="s">
        <v>61</v>
      </c>
      <c r="B15" s="1110">
        <f t="shared" ref="B15:B20" si="1">B14-$D$11</f>
        <v>5.7142857142857144</v>
      </c>
      <c r="C15" s="1111">
        <v>0.8</v>
      </c>
      <c r="D15" s="1098"/>
      <c r="E15" s="1090"/>
      <c r="F15" s="1090"/>
      <c r="G15" s="1109" t="s">
        <v>61</v>
      </c>
      <c r="H15" s="1110">
        <f t="shared" si="0"/>
        <v>5.1428571428571432</v>
      </c>
      <c r="I15" s="1111">
        <v>0.8</v>
      </c>
      <c r="J15" s="1098"/>
      <c r="M15" s="747">
        <v>54.8</v>
      </c>
      <c r="N15" s="747">
        <v>55.1</v>
      </c>
      <c r="O15" s="747">
        <v>38.5</v>
      </c>
      <c r="P15" s="747">
        <v>14.2</v>
      </c>
    </row>
    <row r="16" spans="1:16" x14ac:dyDescent="0.25">
      <c r="A16" s="1109" t="s">
        <v>62</v>
      </c>
      <c r="B16" s="1110">
        <f t="shared" si="1"/>
        <v>8.5714285714285712</v>
      </c>
      <c r="C16" s="1111">
        <v>0.7</v>
      </c>
      <c r="D16" s="1098"/>
      <c r="E16" s="1090"/>
      <c r="F16" s="1090"/>
      <c r="G16" s="1109" t="s">
        <v>62</v>
      </c>
      <c r="H16" s="1110">
        <f t="shared" si="0"/>
        <v>7.7142857142857153</v>
      </c>
      <c r="I16" s="1111">
        <v>0.7</v>
      </c>
      <c r="J16" s="1098"/>
    </row>
    <row r="17" spans="1:17" x14ac:dyDescent="0.25">
      <c r="A17" s="1109" t="s">
        <v>63</v>
      </c>
      <c r="B17" s="1110">
        <f t="shared" si="1"/>
        <v>11.428571428571429</v>
      </c>
      <c r="C17" s="1111">
        <v>0.6</v>
      </c>
      <c r="D17" s="1098"/>
      <c r="E17" s="1113"/>
      <c r="F17" s="1090"/>
      <c r="G17" s="1109" t="s">
        <v>63</v>
      </c>
      <c r="H17" s="1110">
        <f t="shared" si="0"/>
        <v>10.285714285714286</v>
      </c>
      <c r="I17" s="1111">
        <v>0.6</v>
      </c>
      <c r="J17" s="1098"/>
    </row>
    <row r="18" spans="1:17" x14ac:dyDescent="0.25">
      <c r="A18" s="1109" t="s">
        <v>64</v>
      </c>
      <c r="B18" s="1110">
        <f t="shared" si="1"/>
        <v>14.285714285714286</v>
      </c>
      <c r="C18" s="1111">
        <v>0.5</v>
      </c>
      <c r="D18" s="1098"/>
      <c r="E18" s="1090"/>
      <c r="F18" s="1090"/>
      <c r="G18" s="1109" t="s">
        <v>64</v>
      </c>
      <c r="H18" s="1110">
        <f t="shared" si="0"/>
        <v>12.857142857142858</v>
      </c>
      <c r="I18" s="1111">
        <v>0.5</v>
      </c>
      <c r="J18" s="1098"/>
    </row>
    <row r="19" spans="1:17" x14ac:dyDescent="0.25">
      <c r="A19" s="1109" t="s">
        <v>65</v>
      </c>
      <c r="B19" s="1110">
        <f t="shared" si="1"/>
        <v>17.142857142857142</v>
      </c>
      <c r="C19" s="1111">
        <v>0.4</v>
      </c>
      <c r="D19" s="1098"/>
      <c r="E19" s="1113"/>
      <c r="F19" s="1090"/>
      <c r="G19" s="1109" t="s">
        <v>65</v>
      </c>
      <c r="H19" s="1110">
        <f t="shared" si="0"/>
        <v>15.428571428571429</v>
      </c>
      <c r="I19" s="1111">
        <v>0.4</v>
      </c>
      <c r="J19" s="1098"/>
    </row>
    <row r="20" spans="1:17" ht="16.5" thickBot="1" x14ac:dyDescent="0.3">
      <c r="A20" s="1114" t="s">
        <v>67</v>
      </c>
      <c r="B20" s="1115">
        <f t="shared" si="1"/>
        <v>20</v>
      </c>
      <c r="C20" s="1116">
        <v>0.3</v>
      </c>
      <c r="D20" s="1117"/>
      <c r="E20" s="1090"/>
      <c r="F20" s="1090"/>
      <c r="G20" s="1114" t="s">
        <v>67</v>
      </c>
      <c r="H20" s="1115">
        <f t="shared" si="0"/>
        <v>18</v>
      </c>
      <c r="I20" s="1116">
        <v>0.3</v>
      </c>
      <c r="J20" s="1117"/>
    </row>
    <row r="22" spans="1:17" x14ac:dyDescent="0.25">
      <c r="E22" s="747">
        <f>H42+((G42-H42)/($G$24-$H$24)*($B$15-$H$24))</f>
        <v>34.251428571428576</v>
      </c>
    </row>
    <row r="23" spans="1:17" x14ac:dyDescent="0.25">
      <c r="A23" s="747" t="s">
        <v>299</v>
      </c>
      <c r="B23" s="747" t="s">
        <v>298</v>
      </c>
      <c r="C23" s="747" t="s">
        <v>297</v>
      </c>
      <c r="D23" s="747" t="s">
        <v>296</v>
      </c>
      <c r="E23" s="747" t="s">
        <v>295</v>
      </c>
      <c r="F23" s="747" t="s">
        <v>241</v>
      </c>
      <c r="G23" s="747" t="s">
        <v>242</v>
      </c>
      <c r="H23" s="747" t="s">
        <v>243</v>
      </c>
      <c r="I23" s="747" t="s">
        <v>244</v>
      </c>
      <c r="J23" s="747" t="s">
        <v>245</v>
      </c>
      <c r="K23" s="1090" t="s">
        <v>246</v>
      </c>
      <c r="L23" s="1113" t="s">
        <v>290</v>
      </c>
      <c r="M23" s="1113" t="s">
        <v>291</v>
      </c>
      <c r="N23" s="1113" t="s">
        <v>292</v>
      </c>
      <c r="O23" s="1113" t="s">
        <v>293</v>
      </c>
      <c r="P23" s="1113" t="s">
        <v>294</v>
      </c>
    </row>
    <row r="24" spans="1:17" ht="16.5" thickBot="1" x14ac:dyDescent="0.3">
      <c r="D24" s="1031" t="s">
        <v>69</v>
      </c>
      <c r="E24" s="1031">
        <v>25</v>
      </c>
      <c r="F24" s="1031">
        <v>30</v>
      </c>
      <c r="G24" s="1031">
        <v>35</v>
      </c>
      <c r="H24" s="1031">
        <v>40</v>
      </c>
      <c r="J24" s="1031" t="s">
        <v>68</v>
      </c>
      <c r="K24" s="1031">
        <v>-10</v>
      </c>
      <c r="L24" s="1031">
        <v>-2</v>
      </c>
      <c r="M24" s="1031">
        <v>1</v>
      </c>
      <c r="N24" s="1031">
        <v>7</v>
      </c>
      <c r="O24" s="1031">
        <v>11</v>
      </c>
      <c r="P24" s="1031">
        <v>15</v>
      </c>
      <c r="Q24" s="1090"/>
    </row>
    <row r="25" spans="1:17" x14ac:dyDescent="0.25">
      <c r="A25" s="1118">
        <v>8</v>
      </c>
      <c r="B25" s="1119">
        <v>1</v>
      </c>
      <c r="C25" s="1119">
        <f>'1-Ore funzionamento'!AF7</f>
        <v>4.2105263157894743E-2</v>
      </c>
      <c r="D25" s="1147">
        <f>IF(AND('2-Dati generali-Cond. utilizzo'!$C$42=2,'2-Dati generali-Cond. utilizzo'!$C$42=3),IF($B$13&gt;=$H$24,H25,IF(AND($B$13&gt;=$G$24,$B$13&lt;$H$24),H25+(G25-H25)/($G$24-$H$24)*($B$13-$H$24),IF(AND($B$13&gt;=$F$24,$B$13&lt;$G$24),G25+(F25-G25)/($F$24-$G$24)*($B$13-$G$24),IF(AND($B$13&gt;=$E$24,$B$13&lt;$F$24),F25+(E25-F25)/($E$24-$F$24)*($B$13-$F$24),IF($B$13&lt;$E$24,E25,0)))))/'1-Ore funzionamento'!$AI$7,IF($B$13&gt;=$H$24,H25,IF(AND($B$13&gt;=$G$24,$B$13&lt;$H$24),H25+(G25-H25)/($G$24-$H$24)*($B$13-$H$24),IF(AND($B$13&gt;=$F$24,$B$13&lt;$G$24),G25+(F25-G25)/($F$24-$G$24)*($B$13-$G$24),IF(AND($B$13&gt;=$E$24,$B$13&lt;$F$24),F25+(E25-F25)/($E$24-$F$24)*($B$13-$F$24),IF($B$13&lt;$E$24,E25,0))))))</f>
        <v>12.4</v>
      </c>
      <c r="E25" s="1028">
        <v>12.4</v>
      </c>
      <c r="F25" s="1028">
        <v>13.6</v>
      </c>
      <c r="G25" s="1028">
        <v>15</v>
      </c>
      <c r="H25" s="1029">
        <v>16</v>
      </c>
      <c r="J25" s="1120">
        <f>IF(AND('2-Dati generali-Cond. utilizzo'!$C$42=2,'2-Dati generali-Cond. utilizzo'!$C$42=3),IF($H$13&lt;=$K$24,K25,IF(AND($H$13&gt;=$K$24,$H$13&lt;=$L$24),K25+(L25-K25)/($L$24-$K$24)*($H$13-$K$24),IF(AND($H$13&gt;=$L$24,$H$13&lt;=$M$24),L25+(M25-L25)/($M$24-$L$24)*($H$13-$L$24),IF(AND($H$13&gt;=$M$24,$H$13&lt;=$N$24),M25+(N25-M25)/($N$24-$M$24)*($H$13-$M$24),IF(AND($H$13&gt;=$N$24,$H$13&lt;=$O$24),N25+(O25-N25)/($O$24-$N$24)*($H$13-$N$24),IF(AND($H$13&gt;=$O$24,$H$13&lt;=$P$24),O25+(P25-O25)/($P$24-$O$24)*($H$13-$O$24),IF($H$13&gt;$P$24,P25,0)))))))/'1-Ore funzionamento'!$AI$7,IF($H$13&lt;=$K$24,K25,IF(AND($H$13&gt;=$K$24,$H$13&lt;=$L$24),K25+(L25-K25)/($L$24-$K$24)*($H$13-$K$24),IF(AND($H$13&gt;=$L$24,$H$13&lt;=$M$24),L25+(M25-L25)/($M$24-$L$24)*($H$13-$L$24),IF(AND($H$13&gt;=$M$24,$H$13&lt;=$N$24),M25+(N25-M25)/($N$24-$M$24)*($H$13-$M$24),IF(AND($H$13&gt;=$N$24,$H$13&lt;=$O$24),N25+(O25-N25)/($O$24-$N$24)*($H$13-$N$24),IF(AND($H$13&gt;=$O$24,$H$13&lt;=$P$24),O25+(P25-O25)/($P$24-$O$24)*($H$13-$O$24),IF($H$13&gt;$P$24,P25,0))))))))</f>
        <v>22.933333333333334</v>
      </c>
      <c r="K25" s="1028">
        <v>28</v>
      </c>
      <c r="L25" s="1028">
        <v>25.4</v>
      </c>
      <c r="M25" s="1028">
        <v>21.7</v>
      </c>
      <c r="N25" s="1028">
        <v>15.9</v>
      </c>
      <c r="O25" s="1028">
        <v>13.6</v>
      </c>
      <c r="P25" s="1029">
        <v>11.8</v>
      </c>
      <c r="Q25" s="1090"/>
    </row>
    <row r="26" spans="1:17" x14ac:dyDescent="0.25">
      <c r="A26" s="1121">
        <v>10</v>
      </c>
      <c r="B26" s="1111">
        <v>1</v>
      </c>
      <c r="C26" s="1111">
        <f t="shared" ref="C26:C31" si="2">$C$25</f>
        <v>4.2105263157894743E-2</v>
      </c>
      <c r="D26" s="1147">
        <f>IF(AND('2-Dati generali-Cond. utilizzo'!$C$42=2,'2-Dati generali-Cond. utilizzo'!$C$42=3),IF($B$13&gt;=$H$24,H26,IF(AND($B$13&gt;=$G$24,$B$13&lt;$H$24),H26+(G26-H26)/($G$24-$H$24)*($B$13-$H$24),IF(AND($B$13&gt;=$F$24,$B$13&lt;$G$24),G26+(F26-G26)/($F$24-$G$24)*($B$13-$G$24),IF(AND($B$13&gt;=$E$24,$B$13&lt;$F$24),F26+(E26-F26)/($E$24-$F$24)*($B$13-$F$24),IF($B$13&lt;$E$24,E26,0)))))/'1-Ore funzionamento'!$AI$7,IF($B$13&gt;=$H$24,H26,IF(AND($B$13&gt;=$G$24,$B$13&lt;$H$24),H26+(G26-H26)/($G$24-$H$24)*($B$13-$H$24),IF(AND($B$13&gt;=$F$24,$B$13&lt;$G$24),G26+(F26-G26)/($F$24-$G$24)*($B$13-$G$24),IF(AND($B$13&gt;=$E$24,$B$13&lt;$F$24),F26+(E26-F26)/($E$24-$F$24)*($B$13-$F$24),IF($B$13&lt;$E$24,E26,0))))))</f>
        <v>16.2</v>
      </c>
      <c r="E26" s="1031">
        <v>16.2</v>
      </c>
      <c r="F26" s="1031">
        <v>17.7</v>
      </c>
      <c r="G26" s="1031">
        <v>19.2</v>
      </c>
      <c r="H26" s="1032">
        <v>21</v>
      </c>
      <c r="J26" s="1122">
        <f>IF(AND('2-Dati generali-Cond. utilizzo'!$C$42=2,'2-Dati generali-Cond. utilizzo'!$C$42=3),IF($H$13&lt;=$K$24,K26,IF(AND($H$13&gt;=$K$24,$H$13&lt;=$L$24),K26+(L26-K26)/($L$24-$K$24)*($H$13-$K$24),IF(AND($H$13&gt;=$L$24,$H$13&lt;=$M$24),L26+(M26-L26)/($M$24-$L$24)*($H$13-$L$24),IF(AND($H$13&gt;=$M$24,$H$13&lt;=$N$24),M26+(N26-M26)/($N$24-$M$24)*($H$13-$M$24),IF(AND($H$13&gt;=$N$24,$H$13&lt;=$O$24),N26+(O26-N26)/($O$24-$N$24)*($H$13-$N$24),IF(AND($H$13&gt;=$O$24,$H$13&lt;=$P$24),O26+(P26-O26)/($P$24-$O$24)*($H$13-$O$24),IF($H$13&gt;$P$24,P26,0)))))))/'1-Ore funzionamento'!$AI$7,IF($H$13&lt;=$K$24,K26,IF(AND($H$13&gt;=$K$24,$H$13&lt;=$L$24),K26+(L26-K26)/($L$24-$K$24)*($H$13-$K$24),IF(AND($H$13&gt;=$L$24,$H$13&lt;=$M$24),L26+(M26-L26)/($M$24-$L$24)*($H$13-$L$24),IF(AND($H$13&gt;=$M$24,$H$13&lt;=$N$24),M26+(N26-M26)/($N$24-$M$24)*($H$13-$M$24),IF(AND($H$13&gt;=$N$24,$H$13&lt;=$O$24),N26+(O26-N26)/($O$24-$N$24)*($H$13-$N$24),IF(AND($H$13&gt;=$O$24,$H$13&lt;=$P$24),O26+(P26-O26)/($P$24-$O$24)*($H$13-$O$24),IF($H$13&gt;$P$24,P26,0))))))))</f>
        <v>28.9</v>
      </c>
      <c r="K26" s="1031">
        <v>37.299999999999997</v>
      </c>
      <c r="L26" s="1031">
        <v>31.7</v>
      </c>
      <c r="M26" s="1031">
        <v>27.5</v>
      </c>
      <c r="N26" s="1031">
        <v>20.3</v>
      </c>
      <c r="O26" s="1031">
        <v>16.8</v>
      </c>
      <c r="P26" s="1032">
        <v>14.5</v>
      </c>
      <c r="Q26" s="1090"/>
    </row>
    <row r="27" spans="1:17" x14ac:dyDescent="0.25">
      <c r="A27" s="1121">
        <v>13</v>
      </c>
      <c r="B27" s="1111">
        <v>1</v>
      </c>
      <c r="C27" s="1111">
        <f t="shared" si="2"/>
        <v>4.2105263157894743E-2</v>
      </c>
      <c r="D27" s="1147">
        <f>IF(AND('2-Dati generali-Cond. utilizzo'!$C$42=2,'2-Dati generali-Cond. utilizzo'!$C$42=3),IF($B$13&gt;=$H$24,H27,IF(AND($B$13&gt;=$G$24,$B$13&lt;$H$24),H27+(G27-H27)/($G$24-$H$24)*($B$13-$H$24),IF(AND($B$13&gt;=$F$24,$B$13&lt;$G$24),G27+(F27-G27)/($F$24-$G$24)*($B$13-$G$24),IF(AND($B$13&gt;=$E$24,$B$13&lt;$F$24),F27+(E27-F27)/($E$24-$F$24)*($B$13-$F$24),IF($B$13&lt;$E$24,E27,0)))))/'1-Ore funzionamento'!$AI$7,IF($B$13&gt;=$H$24,H27,IF(AND($B$13&gt;=$G$24,$B$13&lt;$H$24),H27+(G27-H27)/($G$24-$H$24)*($B$13-$H$24),IF(AND($B$13&gt;=$F$24,$B$13&lt;$G$24),G27+(F27-G27)/($F$24-$G$24)*($B$13-$G$24),IF(AND($B$13&gt;=$E$24,$B$13&lt;$F$24),F27+(E27-F27)/($E$24-$F$24)*($B$13-$F$24),IF($B$13&lt;$E$24,E27,0))))))</f>
        <v>22.3</v>
      </c>
      <c r="E27" s="1123">
        <v>22.3</v>
      </c>
      <c r="F27" s="1123">
        <v>24.3</v>
      </c>
      <c r="G27" s="1123">
        <v>26.4</v>
      </c>
      <c r="H27" s="1124">
        <v>24.3</v>
      </c>
      <c r="J27" s="1122">
        <f>IF(AND('2-Dati generali-Cond. utilizzo'!$C$42=2,'2-Dati generali-Cond. utilizzo'!$C$42=3),IF($H$13&lt;=$K$24,K27,IF(AND($H$13&gt;=$K$24,$H$13&lt;=$L$24),K27+(L27-K27)/($L$24-$K$24)*($H$13-$K$24),IF(AND($H$13&gt;=$L$24,$H$13&lt;=$M$24),L27+(M27-L27)/($M$24-$L$24)*($H$13-$L$24),IF(AND($H$13&gt;=$M$24,$H$13&lt;=$N$24),M27+(N27-M27)/($N$24-$M$24)*($H$13-$M$24),IF(AND($H$13&gt;=$N$24,$H$13&lt;=$O$24),N27+(O27-N27)/($O$24-$N$24)*($H$13-$N$24),IF(AND($H$13&gt;=$O$24,$H$13&lt;=$P$24),O27+(P27-O27)/($P$24-$O$24)*($H$13-$O$24),IF($H$13&gt;$P$24,P27,0)))))))/'1-Ore funzionamento'!$AI$7,IF($H$13&lt;=$K$24,K27,IF(AND($H$13&gt;=$K$24,$H$13&lt;=$L$24),K27+(L27-K27)/($L$24-$K$24)*($H$13-$K$24),IF(AND($H$13&gt;=$L$24,$H$13&lt;=$M$24),L27+(M27-L27)/($M$24-$L$24)*($H$13-$L$24),IF(AND($H$13&gt;=$M$24,$H$13&lt;=$N$24),M27+(N27-M27)/($N$24-$M$24)*($H$13-$M$24),IF(AND($H$13&gt;=$N$24,$H$13&lt;=$O$24),N27+(O27-N27)/($O$24-$N$24)*($H$13-$N$24),IF(AND($H$13&gt;=$O$24,$H$13&lt;=$P$24),O27+(P27-O27)/($P$24-$O$24)*($H$13-$O$24),IF($H$13&gt;$P$24,P27,0))))))))</f>
        <v>36.433333333333337</v>
      </c>
      <c r="K27" s="1123">
        <v>35</v>
      </c>
      <c r="L27" s="1123">
        <v>36.1</v>
      </c>
      <c r="M27" s="1123">
        <v>36.6</v>
      </c>
      <c r="N27" s="1123">
        <v>27</v>
      </c>
      <c r="O27" s="1123">
        <v>21.2</v>
      </c>
      <c r="P27" s="1124">
        <v>17.399999999999999</v>
      </c>
      <c r="Q27" s="1090"/>
    </row>
    <row r="28" spans="1:17" x14ac:dyDescent="0.25">
      <c r="A28" s="1121">
        <v>16</v>
      </c>
      <c r="B28" s="1111">
        <v>1</v>
      </c>
      <c r="C28" s="1111">
        <f t="shared" si="2"/>
        <v>4.2105263157894743E-2</v>
      </c>
      <c r="D28" s="1147">
        <f>IF(AND('2-Dati generali-Cond. utilizzo'!$C$42=2,'2-Dati generali-Cond. utilizzo'!$C$42=3),IF($B$13&gt;=$H$24,H28,IF(AND($B$13&gt;=$G$24,$B$13&lt;$H$24),H28+(G28-H28)/($G$24-$H$24)*($B$13-$H$24),IF(AND($B$13&gt;=$F$24,$B$13&lt;$G$24),G28+(F28-G28)/($F$24-$G$24)*($B$13-$G$24),IF(AND($B$13&gt;=$E$24,$B$13&lt;$F$24),F28+(E28-F28)/($E$24-$F$24)*($B$13-$F$24),IF($B$13&lt;$E$24,E28,0)))))/'1-Ore funzionamento'!$AI$7,IF($B$13&gt;=$H$24,H28,IF(AND($B$13&gt;=$G$24,$B$13&lt;$H$24),H28+(G28-H28)/($G$24-$H$24)*($B$13-$H$24),IF(AND($B$13&gt;=$F$24,$B$13&lt;$G$24),G28+(F28-G28)/($F$24-$G$24)*($B$13-$G$24),IF(AND($B$13&gt;=$E$24,$B$13&lt;$F$24),F28+(E28-F28)/($E$24-$F$24)*($B$13-$F$24),IF($B$13&lt;$E$24,E28,0))))))</f>
        <v>27.2</v>
      </c>
      <c r="E28" s="1123">
        <v>27.2</v>
      </c>
      <c r="F28" s="1123">
        <v>29.4</v>
      </c>
      <c r="G28" s="1123">
        <v>31.4</v>
      </c>
      <c r="H28" s="1124">
        <f>G28*I28</f>
        <v>28.259999999999998</v>
      </c>
      <c r="I28" s="1125">
        <v>0.9</v>
      </c>
      <c r="J28" s="1122">
        <f>IF(AND('2-Dati generali-Cond. utilizzo'!$C$42=2,'2-Dati generali-Cond. utilizzo'!$C$42=3),IF($H$13&lt;=$K$24,K28,IF(AND($H$13&gt;=$K$24,$H$13&lt;=$L$24),K28+(L28-K28)/($L$24-$K$24)*($H$13-$K$24),IF(AND($H$13&gt;=$L$24,$H$13&lt;=$M$24),L28+(M28-L28)/($M$24-$L$24)*($H$13-$L$24),IF(AND($H$13&gt;=$M$24,$H$13&lt;=$N$24),M28+(N28-M28)/($N$24-$M$24)*($H$13-$M$24),IF(AND($H$13&gt;=$N$24,$H$13&lt;=$O$24),N28+(O28-N28)/($O$24-$N$24)*($H$13-$N$24),IF(AND($H$13&gt;=$O$24,$H$13&lt;=$P$24),O28+(P28-O28)/($P$24-$O$24)*($H$13-$O$24),IF($H$13&gt;$P$24,P28,0)))))))/'1-Ore funzionamento'!$AI$7,IF($H$13&lt;=$K$24,K28,IF(AND($H$13&gt;=$K$24,$H$13&lt;=$L$24),K28+(L28-K28)/($L$24-$K$24)*($H$13-$K$24),IF(AND($H$13&gt;=$L$24,$H$13&lt;=$M$24),L28+(M28-L28)/($M$24-$L$24)*($H$13-$L$24),IF(AND($H$13&gt;=$M$24,$H$13&lt;=$N$24),M28+(N28-M28)/($N$24-$M$24)*($H$13-$M$24),IF(AND($H$13&gt;=$N$24,$H$13&lt;=$O$24),N28+(O28-N28)/($O$24-$N$24)*($H$13-$N$24),IF(AND($H$13&gt;=$O$24,$H$13&lt;=$P$24),O28+(P28-O28)/($P$24-$O$24)*($H$13-$O$24),IF($H$13&gt;$P$24,P28,0))))))))</f>
        <v>41.833333333333336</v>
      </c>
      <c r="K28" s="1123">
        <v>51.9</v>
      </c>
      <c r="L28" s="1123">
        <v>45.3</v>
      </c>
      <c r="M28" s="1123">
        <v>40.1</v>
      </c>
      <c r="N28" s="1123">
        <v>29.8</v>
      </c>
      <c r="O28" s="1123">
        <v>26.7</v>
      </c>
      <c r="P28" s="1124">
        <f>O28*Q28</f>
        <v>22.695</v>
      </c>
      <c r="Q28" s="1125">
        <v>0.85</v>
      </c>
    </row>
    <row r="29" spans="1:17" x14ac:dyDescent="0.25">
      <c r="A29" s="1121">
        <v>20</v>
      </c>
      <c r="B29" s="1111">
        <v>1</v>
      </c>
      <c r="C29" s="1111">
        <f t="shared" si="2"/>
        <v>4.2105263157894743E-2</v>
      </c>
      <c r="D29" s="1147">
        <f>IF(AND('2-Dati generali-Cond. utilizzo'!$C$42=2,'2-Dati generali-Cond. utilizzo'!$C$42=3),IF($B$13&gt;=$H$24,H29,IF(AND($B$13&gt;=$G$24,$B$13&lt;$H$24),H29+(G29-H29)/($G$24-$H$24)*($B$13-$H$24),IF(AND($B$13&gt;=$F$24,$B$13&lt;$G$24),G29+(F29-G29)/($F$24-$G$24)*($B$13-$G$24),IF(AND($B$13&gt;=$E$24,$B$13&lt;$F$24),F29+(E29-F29)/($E$24-$F$24)*($B$13-$F$24),IF($B$13&lt;$E$24,E29,0)))))/'1-Ore funzionamento'!$AI$7,IF($B$13&gt;=$H$24,H29,IF(AND($B$13&gt;=$G$24,$B$13&lt;$H$24),H29+(G29-H29)/($G$24-$H$24)*($B$13-$H$24),IF(AND($B$13&gt;=$F$24,$B$13&lt;$G$24),G29+(F29-G29)/($F$24-$G$24)*($B$13-$G$24),IF(AND($B$13&gt;=$E$24,$B$13&lt;$F$24),F29+(E29-F29)/($E$24-$F$24)*($B$13-$F$24),IF($B$13&lt;$E$24,E29,0))))))</f>
        <v>34.6</v>
      </c>
      <c r="E29" s="1123">
        <v>34.6</v>
      </c>
      <c r="F29" s="1123">
        <v>36.9</v>
      </c>
      <c r="G29" s="1123">
        <v>38.9</v>
      </c>
      <c r="H29" s="1124">
        <f t="shared" ref="H29:H31" si="3">G29*I29</f>
        <v>35.01</v>
      </c>
      <c r="I29" s="1126">
        <v>0.9</v>
      </c>
      <c r="J29" s="1122">
        <f>IF(AND('2-Dati generali-Cond. utilizzo'!$C$42=2,'2-Dati generali-Cond. utilizzo'!$C$42=3),IF($H$13&lt;=$K$24,K29,IF(AND($H$13&gt;=$K$24,$H$13&lt;=$L$24),K29+(L29-K29)/($L$24-$K$24)*($H$13-$K$24),IF(AND($H$13&gt;=$L$24,$H$13&lt;=$M$24),L29+(M29-L29)/($M$24-$L$24)*($H$13-$L$24),IF(AND($H$13&gt;=$M$24,$H$13&lt;=$N$24),M29+(N29-M29)/($N$24-$M$24)*($H$13-$M$24),IF(AND($H$13&gt;=$N$24,$H$13&lt;=$O$24),N29+(O29-N29)/($O$24-$N$24)*($H$13-$N$24),IF(AND($H$13&gt;=$O$24,$H$13&lt;=$P$24),O29+(P29-O29)/($P$24-$O$24)*($H$13-$O$24),IF($H$13&gt;$P$24,P29,0)))))))/'1-Ore funzionamento'!$AI$7,IF($H$13&lt;=$K$24,K29,IF(AND($H$13&gt;=$K$24,$H$13&lt;=$L$24),K29+(L29-K29)/($L$24-$K$24)*($H$13-$K$24),IF(AND($H$13&gt;=$L$24,$H$13&lt;=$M$24),L29+(M29-L29)/($M$24-$L$24)*($H$13-$L$24),IF(AND($H$13&gt;=$M$24,$H$13&lt;=$N$24),M29+(N29-M29)/($N$24-$M$24)*($H$13-$M$24),IF(AND($H$13&gt;=$N$24,$H$13&lt;=$O$24),N29+(O29-N29)/($O$24-$N$24)*($H$13-$N$24),IF(AND($H$13&gt;=$O$24,$H$13&lt;=$P$24),O29+(P29-O29)/($P$24-$O$24)*($H$13-$O$24),IF($H$13&gt;$P$24,P29,0))))))))</f>
        <v>37.833333333333329</v>
      </c>
      <c r="K29" s="1123">
        <v>63.1</v>
      </c>
      <c r="L29" s="1123">
        <v>59.7</v>
      </c>
      <c r="M29" s="1123">
        <v>26.9</v>
      </c>
      <c r="N29" s="1123">
        <v>38.1</v>
      </c>
      <c r="O29" s="1123">
        <v>34</v>
      </c>
      <c r="P29" s="1124">
        <f t="shared" ref="P29:P31" si="4">O29*Q29</f>
        <v>28.9</v>
      </c>
      <c r="Q29" s="1127">
        <v>0.85</v>
      </c>
    </row>
    <row r="30" spans="1:17" x14ac:dyDescent="0.25">
      <c r="A30" s="1121">
        <v>25</v>
      </c>
      <c r="B30" s="1111">
        <v>1</v>
      </c>
      <c r="C30" s="1111">
        <f t="shared" si="2"/>
        <v>4.2105263157894743E-2</v>
      </c>
      <c r="D30" s="1147">
        <f>IF(AND('2-Dati generali-Cond. utilizzo'!$C$42=2,'2-Dati generali-Cond. utilizzo'!$C$42=3),IF($B$13&gt;=$H$24,H30,IF(AND($B$13&gt;=$G$24,$B$13&lt;$H$24),H30+(G30-H30)/($G$24-$H$24)*($B$13-$H$24),IF(AND($B$13&gt;=$F$24,$B$13&lt;$G$24),G30+(F30-G30)/($F$24-$G$24)*($B$13-$G$24),IF(AND($B$13&gt;=$E$24,$B$13&lt;$F$24),F30+(E30-F30)/($E$24-$F$24)*($B$13-$F$24),IF($B$13&lt;$E$24,E30,0)))))/'1-Ore funzionamento'!$AI$7,IF($B$13&gt;=$H$24,H30,IF(AND($B$13&gt;=$G$24,$B$13&lt;$H$24),H30+(G30-H30)/($G$24-$H$24)*($B$13-$H$24),IF(AND($B$13&gt;=$F$24,$B$13&lt;$G$24),G30+(F30-G30)/($F$24-$G$24)*($B$13-$G$24),IF(AND($B$13&gt;=$E$24,$B$13&lt;$F$24),F30+(E30-F30)/($E$24-$F$24)*($B$13-$F$24),IF($B$13&lt;$E$24,E30,0))))))</f>
        <v>48.9</v>
      </c>
      <c r="E30" s="1123">
        <v>48.9</v>
      </c>
      <c r="F30" s="1123">
        <v>51.9</v>
      </c>
      <c r="G30" s="1123">
        <v>54.4</v>
      </c>
      <c r="H30" s="1124">
        <f t="shared" si="3"/>
        <v>48.96</v>
      </c>
      <c r="I30" s="1126">
        <v>0.9</v>
      </c>
      <c r="J30" s="1122">
        <f>IF(AND('2-Dati generali-Cond. utilizzo'!$C$42=2,'2-Dati generali-Cond. utilizzo'!$C$42=3),IF($H$13&lt;=$K$24,K30,IF(AND($H$13&gt;=$K$24,$H$13&lt;=$L$24),K30+(L30-K30)/($L$24-$K$24)*($H$13-$K$24),IF(AND($H$13&gt;=$L$24,$H$13&lt;=$M$24),L30+(M30-L30)/($M$24-$L$24)*($H$13-$L$24),IF(AND($H$13&gt;=$M$24,$H$13&lt;=$N$24),M30+(N30-M30)/($N$24-$M$24)*($H$13-$M$24),IF(AND($H$13&gt;=$N$24,$H$13&lt;=$O$24),N30+(O30-N30)/($O$24-$N$24)*($H$13-$N$24),IF(AND($H$13&gt;=$O$24,$H$13&lt;=$P$24),O30+(P30-O30)/($P$24-$O$24)*($H$13-$O$24),IF($H$13&gt;$P$24,P30,0)))))))/'1-Ore funzionamento'!$AI$7,IF($H$13&lt;=$K$24,K30,IF(AND($H$13&gt;=$K$24,$H$13&lt;=$L$24),K30+(L30-K30)/($L$24-$K$24)*($H$13-$K$24),IF(AND($H$13&gt;=$L$24,$H$13&lt;=$M$24),L30+(M30-L30)/($M$24-$L$24)*($H$13-$L$24),IF(AND($H$13&gt;=$M$24,$H$13&lt;=$N$24),M30+(N30-M30)/($N$24-$M$24)*($H$13-$M$24),IF(AND($H$13&gt;=$N$24,$H$13&lt;=$O$24),N30+(O30-N30)/($O$24-$N$24)*($H$13-$N$24),IF(AND($H$13&gt;=$O$24,$H$13&lt;=$P$24),O30+(P30-O30)/($P$24-$O$24)*($H$13-$O$24),IF($H$13&gt;$P$24,P30,0))))))))</f>
        <v>79.033333333333331</v>
      </c>
      <c r="K30" s="1123">
        <v>75.8</v>
      </c>
      <c r="L30" s="1123">
        <v>77.900000000000006</v>
      </c>
      <c r="M30" s="1123">
        <v>79.599999999999994</v>
      </c>
      <c r="N30" s="1123">
        <v>53.9</v>
      </c>
      <c r="O30" s="1123">
        <v>47.3</v>
      </c>
      <c r="P30" s="1124">
        <f t="shared" si="4"/>
        <v>40.204999999999998</v>
      </c>
      <c r="Q30" s="1127">
        <v>0.85</v>
      </c>
    </row>
    <row r="31" spans="1:17" ht="16.5" thickBot="1" x14ac:dyDescent="0.3">
      <c r="A31" s="1128">
        <v>30</v>
      </c>
      <c r="B31" s="1116">
        <v>1</v>
      </c>
      <c r="C31" s="1111">
        <f t="shared" si="2"/>
        <v>4.2105263157894743E-2</v>
      </c>
      <c r="D31" s="1147">
        <f>IF(AND('2-Dati generali-Cond. utilizzo'!$C$42=2,'2-Dati generali-Cond. utilizzo'!$C$42=3),IF($B$13&gt;=$H$24,H31,IF(AND($B$13&gt;=$G$24,$B$13&lt;$H$24),H31+(G31-H31)/($G$24-$H$24)*($B$13-$H$24),IF(AND($B$13&gt;=$F$24,$B$13&lt;$G$24),G31+(F31-G31)/($F$24-$G$24)*($B$13-$G$24),IF(AND($B$13&gt;=$E$24,$B$13&lt;$F$24),F31+(E31-F31)/($E$24-$F$24)*($B$13-$F$24),IF($B$13&lt;$E$24,E31,0)))))/'1-Ore funzionamento'!$AI$7,IF($B$13&gt;=$H$24,H31,IF(AND($B$13&gt;=$G$24,$B$13&lt;$H$24),H31+(G31-H31)/($G$24-$H$24)*($B$13-$H$24),IF(AND($B$13&gt;=$F$24,$B$13&lt;$G$24),G31+(F31-G31)/($F$24-$G$24)*($B$13-$G$24),IF(AND($B$13&gt;=$E$24,$B$13&lt;$F$24),F31+(E31-F31)/($E$24-$F$24)*($B$13-$F$24),IF($B$13&lt;$E$24,E31,0))))))</f>
        <v>63.1</v>
      </c>
      <c r="E31" s="1130">
        <v>63.1</v>
      </c>
      <c r="F31" s="1130">
        <v>67.400000000000006</v>
      </c>
      <c r="G31" s="1130">
        <v>71.2</v>
      </c>
      <c r="H31" s="1124">
        <f t="shared" si="3"/>
        <v>64.08</v>
      </c>
      <c r="I31" s="1126">
        <v>0.9</v>
      </c>
      <c r="J31" s="1129">
        <f>IF(AND('2-Dati generali-Cond. utilizzo'!$C$42=2,'2-Dati generali-Cond. utilizzo'!$C$42=3),IF($H$13&lt;=$K$24,K31,IF(AND($H$13&gt;=$K$24,$H$13&lt;=$L$24),K31+(L31-K31)/($L$24-$K$24)*($H$13-$K$24),IF(AND($H$13&gt;=$L$24,$H$13&lt;=$M$24),L31+(M31-L31)/($M$24-$L$24)*($H$13-$L$24),IF(AND($H$13&gt;=$M$24,$H$13&lt;=$N$24),M31+(N31-M31)/($N$24-$M$24)*($H$13-$M$24),IF(AND($H$13&gt;=$N$24,$H$13&lt;=$O$24),N31+(O31-N31)/($O$24-$N$24)*($H$13-$N$24),IF(AND($H$13&gt;=$O$24,$H$13&lt;=$P$24),O31+(P31-O31)/($P$24-$O$24)*($H$13-$O$24),IF($H$13&gt;$P$24,P31,0)))))))/'1-Ore funzionamento'!$AI$7,IF($H$13&lt;=$K$24,K31,IF(AND($H$13&gt;=$K$24,$H$13&lt;=$L$24),K31+(L31-K31)/($L$24-$K$24)*($H$13-$K$24),IF(AND($H$13&gt;=$L$24,$H$13&lt;=$M$24),L31+(M31-L31)/($M$24-$L$24)*($H$13-$L$24),IF(AND($H$13&gt;=$M$24,$H$13&lt;=$N$24),M31+(N31-M31)/($N$24-$M$24)*($H$13-$M$24),IF(AND($H$13&gt;=$N$24,$H$13&lt;=$O$24),N31+(O31-N31)/($O$24-$N$24)*($H$13-$N$24),IF(AND($H$13&gt;=$O$24,$H$13&lt;=$P$24),O31+(P31-O31)/($P$24-$O$24)*($H$13-$O$24),IF($H$13&gt;$P$24,P31,0))))))))</f>
        <v>86.633333333333326</v>
      </c>
      <c r="K31" s="1130">
        <v>85.7</v>
      </c>
      <c r="L31" s="1130">
        <v>86.3</v>
      </c>
      <c r="M31" s="1130">
        <v>86.8</v>
      </c>
      <c r="N31" s="1130">
        <v>68</v>
      </c>
      <c r="O31" s="1130">
        <v>62.3</v>
      </c>
      <c r="P31" s="1131">
        <f t="shared" si="4"/>
        <v>52.954999999999998</v>
      </c>
      <c r="Q31" s="1125">
        <v>0.85</v>
      </c>
    </row>
    <row r="32" spans="1:17" x14ac:dyDescent="0.25">
      <c r="A32" s="1118">
        <v>8</v>
      </c>
      <c r="B32" s="1119">
        <v>0.9</v>
      </c>
      <c r="C32" s="1119">
        <f>'1-Ore funzionamento'!AF8</f>
        <v>9.4736842105263161E-2</v>
      </c>
      <c r="D32" s="1147">
        <f>IF(AND('2-Dati generali-Cond. utilizzo'!$C$42=2,'2-Dati generali-Cond. utilizzo'!$C$42=3),IF($B$14&gt;=$H$24,H32,IF(AND($B$14&gt;=$G$24,$B$14&lt;$H$24),H32+(G32-H32)/($G$24-$H$24)*($B$14-$H$24),IF(AND($B$14&gt;=$F$24,$B$14&lt;$G$24),G32+(F32-G32)/($F$24-$G$24)*($B$14-$G$24),IF(AND($B$14&gt;=$E$24,$B$14&lt;$F$24),F32+(E32-F32)/($E$24-$F$24)*($B$14-$F$24),IF($B$14&lt;$E$24,E32,0)))))/'1-Ore funzionamento'!$AI$7,IF($B$14&gt;=$H$24,H32,IF(AND($B$14&gt;=$G$24,$B$14&lt;$H$24),H32+(G32-H32)/($G$24-$H$24)*($B$14-$H$24),IF(AND($B$14&gt;=$F$24,$B$14&lt;$G$24),G32+(F32-G32)/($F$24-$G$24)*($B$14-$G$24),IF(AND($B$14&gt;=$E$24,$B$14&lt;$F$24),F32+(E32-F32)/($E$24-$F$24)*($B$14-$F$24),IF($B$14&lt;$E$24,E32,0))))))</f>
        <v>10.9</v>
      </c>
      <c r="E32" s="1028">
        <v>10.9</v>
      </c>
      <c r="F32" s="1028">
        <v>11.9</v>
      </c>
      <c r="G32" s="1028">
        <v>13</v>
      </c>
      <c r="H32" s="1029">
        <v>14.2</v>
      </c>
      <c r="J32" s="1120">
        <f>IF(AND('2-Dati generali-Cond. utilizzo'!$C$42=2,'2-Dati generali-Cond. utilizzo'!$C$42=3),IF($H$14&lt;=$K$24,K32,IF(AND($H$14&gt;=$K$24,$H$14&lt;=$L$24),K32+(L32-K32)/($L$24-$K$24)*($H$14-$K$24),IF(AND($H$14&gt;=$L$24,$H$14&lt;=$M$24),L32+(M32-L32)/($M$24-$L$24)*($H$14-$L$24),IF(AND($H$14&gt;=$M$24,$H$14&lt;=$N$24),M32+(N32-M32)/($N$24-$M$24)*($H$14-$M$24),IF(AND($H$14&gt;=$N$24,$H$14&lt;=$O$24),N32+(O32-N32)/($O$24-$N$24)*($H$14-$N$24),IF(AND($H$14&gt;=$O$24,$H$14&lt;=$P$24),O32+(P32-O32)/($P$24-$O$24)*($H$14-$O$24),IF($H$14&gt;$P$24,P32,0)))))))/'1-Ore funzionamento'!$AI$7,IF($H$14&lt;=$K$24,K32,IF(AND($H$14&gt;=$K$24,$H$14&lt;=$L$24),K32+(L32-K32)/($L$24-$K$24)*($H$14-$K$24),IF(AND($H$14&gt;=$L$24,$H$14&lt;=$M$24),L32+(M32-L32)/($M$24-$L$24)*($H$14-$L$24),IF(AND($H$14&gt;=$M$24,$H$14&lt;=$N$24),M32+(N32-M32)/($N$24-$M$24)*($H$14-$M$24),IF(AND($H$14&gt;=$N$24,$H$14&lt;=$O$24),N32+(O32-N32)/($O$24-$N$24)*($H$14-$N$24),IF(AND($H$14&gt;=$O$24,$H$14&lt;=$P$24),O32+(P32-O32)/($P$24-$O$24)*($H$14-$O$24),IF($H$14&gt;$P$24,P32,0))))))))</f>
        <v>18.274999999999999</v>
      </c>
      <c r="K32" s="1028">
        <v>25.36</v>
      </c>
      <c r="L32" s="1028">
        <v>23</v>
      </c>
      <c r="M32" s="1028">
        <v>19.649999999999999</v>
      </c>
      <c r="N32" s="1028">
        <v>14.4</v>
      </c>
      <c r="O32" s="1028">
        <v>12.2</v>
      </c>
      <c r="P32" s="1029">
        <v>10.5</v>
      </c>
      <c r="Q32" s="1090"/>
    </row>
    <row r="33" spans="1:17" x14ac:dyDescent="0.25">
      <c r="A33" s="1121">
        <v>10</v>
      </c>
      <c r="B33" s="1111">
        <v>0.9</v>
      </c>
      <c r="C33" s="1111">
        <f t="shared" ref="C33:C38" si="5">$C$32</f>
        <v>9.4736842105263161E-2</v>
      </c>
      <c r="D33" s="1147">
        <f>IF(AND('2-Dati generali-Cond. utilizzo'!$C$42=2,'2-Dati generali-Cond. utilizzo'!$C$42=3),IF($B$14&gt;=$H$24,H33,IF(AND($B$14&gt;=$G$24,$B$14&lt;$H$24),H33+(G33-H33)/($G$24-$H$24)*($B$14-$H$24),IF(AND($B$14&gt;=$F$24,$B$14&lt;$G$24),G33+(F33-G33)/($F$24-$G$24)*($B$14-$G$24),IF(AND($B$14&gt;=$E$24,$B$14&lt;$F$24),F33+(E33-F33)/($E$24-$F$24)*($B$14-$F$24),IF($B$14&lt;$E$24,E33,0)))))/'1-Ore funzionamento'!$AI$7,IF($B$14&gt;=$H$24,H33,IF(AND($B$14&gt;=$G$24,$B$14&lt;$H$24),H33+(G33-H33)/($G$24-$H$24)*($B$14-$H$24),IF(AND($B$14&gt;=$F$24,$B$14&lt;$G$24),G33+(F33-G33)/($F$24-$G$24)*($B$14-$G$24),IF(AND($B$14&gt;=$E$24,$B$14&lt;$F$24),F33+(E33-F33)/($E$24-$F$24)*($B$14-$F$24),IF($B$14&lt;$E$24,E33,0))))))</f>
        <v>13.5</v>
      </c>
      <c r="E33" s="1031">
        <v>13.5</v>
      </c>
      <c r="F33" s="1031">
        <v>14.7</v>
      </c>
      <c r="G33" s="1031">
        <v>16.100000000000001</v>
      </c>
      <c r="H33" s="1032">
        <v>17.5</v>
      </c>
      <c r="J33" s="1122">
        <f>IF(AND('2-Dati generali-Cond. utilizzo'!$C$42=2,'2-Dati generali-Cond. utilizzo'!$C$42=3),IF($H$14&lt;=$K$24,K33,IF(AND($H$14&gt;=$K$24,$H$14&lt;=$L$24),K33+(L33-K33)/($L$24-$K$24)*($H$14-$K$24),IF(AND($H$14&gt;=$L$24,$H$14&lt;=$M$24),L33+(M33-L33)/($M$24-$L$24)*($H$14-$L$24),IF(AND($H$14&gt;=$M$24,$H$14&lt;=$N$24),M33+(N33-M33)/($N$24-$M$24)*($H$14-$M$24),IF(AND($H$14&gt;=$N$24,$H$14&lt;=$O$24),N33+(O33-N33)/($O$24-$N$24)*($H$14-$N$24),IF(AND($H$14&gt;=$O$24,$H$14&lt;=$P$24),O33+(P33-O33)/($P$24-$O$24)*($H$14-$O$24),IF($H$14&gt;$P$24,P33,0)))))))/'1-Ore funzionamento'!$AI$7,IF($H$14&lt;=$K$24,K33,IF(AND($H$14&gt;=$K$24,$H$14&lt;=$L$24),K33+(L33-K33)/($L$24-$K$24)*($H$14-$K$24),IF(AND($H$14&gt;=$L$24,$H$14&lt;=$M$24),L33+(M33-L33)/($M$24-$L$24)*($H$14-$L$24),IF(AND($H$14&gt;=$M$24,$H$14&lt;=$N$24),M33+(N33-M33)/($N$24-$M$24)*($H$14-$M$24),IF(AND($H$14&gt;=$N$24,$H$14&lt;=$O$24),N33+(O33-N33)/($O$24-$N$24)*($H$14-$N$24),IF(AND($H$14&gt;=$O$24,$H$14&lt;=$P$24),O33+(P33-O33)/($P$24-$O$24)*($H$14-$O$24),IF($H$14&gt;$P$24,P33,0))))))))</f>
        <v>22.709047619047617</v>
      </c>
      <c r="K33" s="1031">
        <v>33.07</v>
      </c>
      <c r="L33" s="1031">
        <v>28.11</v>
      </c>
      <c r="M33" s="1031">
        <v>24.38</v>
      </c>
      <c r="N33" s="1031">
        <v>18</v>
      </c>
      <c r="O33" s="1031">
        <v>15.1</v>
      </c>
      <c r="P33" s="1032">
        <v>13.1</v>
      </c>
      <c r="Q33" s="1090"/>
    </row>
    <row r="34" spans="1:17" x14ac:dyDescent="0.25">
      <c r="A34" s="1121">
        <v>13</v>
      </c>
      <c r="B34" s="1111">
        <v>0.9</v>
      </c>
      <c r="C34" s="1111">
        <f t="shared" si="5"/>
        <v>9.4736842105263161E-2</v>
      </c>
      <c r="D34" s="1147">
        <f>IF(AND('2-Dati generali-Cond. utilizzo'!$C$42=2,'2-Dati generali-Cond. utilizzo'!$C$42=3),IF($B$14&gt;=$H$24,H34,IF(AND($B$14&gt;=$G$24,$B$14&lt;$H$24),H34+(G34-H34)/($G$24-$H$24)*($B$14-$H$24),IF(AND($B$14&gt;=$F$24,$B$14&lt;$G$24),G34+(F34-G34)/($F$24-$G$24)*($B$14-$G$24),IF(AND($B$14&gt;=$E$24,$B$14&lt;$F$24),F34+(E34-F34)/($E$24-$F$24)*($B$14-$F$24),IF($B$14&lt;$E$24,E34,0)))))/'1-Ore funzionamento'!$AI$7,IF($B$14&gt;=$H$24,H34,IF(AND($B$14&gt;=$G$24,$B$14&lt;$H$24),H34+(G34-H34)/($G$24-$H$24)*($B$14-$H$24),IF(AND($B$14&gt;=$F$24,$B$14&lt;$G$24),G34+(F34-G34)/($F$24-$G$24)*($B$14-$G$24),IF(AND($B$14&gt;=$E$24,$B$14&lt;$F$24),F34+(E34-F34)/($E$24-$F$24)*($B$14-$F$24),IF($B$14&lt;$E$24,E34,0))))))</f>
        <v>19.2</v>
      </c>
      <c r="E34" s="1123">
        <v>19.2</v>
      </c>
      <c r="F34" s="1123">
        <v>21</v>
      </c>
      <c r="G34" s="1123">
        <v>22.8</v>
      </c>
      <c r="H34" s="1124">
        <v>24.7</v>
      </c>
      <c r="J34" s="1122">
        <f>IF(AND('2-Dati generali-Cond. utilizzo'!$C$42=2,'2-Dati generali-Cond. utilizzo'!$C$42=3),IF($H$14&lt;=$K$24,K34,IF(AND($H$14&gt;=$K$24,$H$14&lt;=$L$24),K34+(L34-K34)/($L$24-$K$24)*($H$14-$K$24),IF(AND($H$14&gt;=$L$24,$H$14&lt;=$M$24),L34+(M34-L34)/($M$24-$L$24)*($H$14-$L$24),IF(AND($H$14&gt;=$M$24,$H$14&lt;=$N$24),M34+(N34-M34)/($N$24-$M$24)*($H$14-$M$24),IF(AND($H$14&gt;=$N$24,$H$14&lt;=$O$24),N34+(O34-N34)/($O$24-$N$24)*($H$14-$N$24),IF(AND($H$14&gt;=$O$24,$H$14&lt;=$P$24),O34+(P34-O34)/($P$24-$O$24)*($H$14-$O$24),IF($H$14&gt;$P$24,P34,0)))))))/'1-Ore funzionamento'!$AI$7,IF($H$14&lt;=$K$24,K34,IF(AND($H$14&gt;=$K$24,$H$14&lt;=$L$24),K34+(L34-K34)/($L$24-$K$24)*($H$14-$K$24),IF(AND($H$14&gt;=$L$24,$H$14&lt;=$M$24),L34+(M34-L34)/($M$24-$L$24)*($H$14-$L$24),IF(AND($H$14&gt;=$M$24,$H$14&lt;=$N$24),M34+(N34-M34)/($N$24-$M$24)*($H$14-$M$24),IF(AND($H$14&gt;=$N$24,$H$14&lt;=$O$24),N34+(O34-N34)/($O$24-$N$24)*($H$14-$N$24),IF(AND($H$14&gt;=$O$24,$H$14&lt;=$P$24),O34+(P34-O34)/($P$24-$O$24)*($H$14-$O$24),IF($H$14&gt;$P$24,P34,0))))))))</f>
        <v>29.289285714285715</v>
      </c>
      <c r="K34" s="1123">
        <v>30.07</v>
      </c>
      <c r="L34" s="1123">
        <v>31.02</v>
      </c>
      <c r="M34" s="1123">
        <v>31.45</v>
      </c>
      <c r="N34" s="1123">
        <v>23.2</v>
      </c>
      <c r="O34" s="1123">
        <v>18.100000000000001</v>
      </c>
      <c r="P34" s="1124">
        <f>O34*Q34</f>
        <v>15.385000000000002</v>
      </c>
      <c r="Q34" s="1125">
        <v>0.85</v>
      </c>
    </row>
    <row r="35" spans="1:17" x14ac:dyDescent="0.25">
      <c r="A35" s="1121">
        <v>16</v>
      </c>
      <c r="B35" s="1111">
        <v>0.9</v>
      </c>
      <c r="C35" s="1111">
        <f t="shared" si="5"/>
        <v>9.4736842105263161E-2</v>
      </c>
      <c r="D35" s="1147">
        <f>IF(AND('2-Dati generali-Cond. utilizzo'!$C$42=2,'2-Dati generali-Cond. utilizzo'!$C$42=3),IF($B$14&gt;=$H$24,H35,IF(AND($B$14&gt;=$G$24,$B$14&lt;$H$24),H35+(G35-H35)/($G$24-$H$24)*($B$14-$H$24),IF(AND($B$14&gt;=$F$24,$B$14&lt;$G$24),G35+(F35-G35)/($F$24-$G$24)*($B$14-$G$24),IF(AND($B$14&gt;=$E$24,$B$14&lt;$F$24),F35+(E35-F35)/($E$24-$F$24)*($B$14-$F$24),IF($B$14&lt;$E$24,E35,0)))))/'1-Ore funzionamento'!$AI$7,IF($B$14&gt;=$H$24,H35,IF(AND($B$14&gt;=$G$24,$B$14&lt;$H$24),H35+(G35-H35)/($G$24-$H$24)*($B$14-$H$24),IF(AND($B$14&gt;=$F$24,$B$14&lt;$G$24),G35+(F35-G35)/($F$24-$G$24)*($B$14-$G$24),IF(AND($B$14&gt;=$E$24,$B$14&lt;$F$24),F35+(E35-F35)/($E$24-$F$24)*($B$14-$F$24),IF($B$14&lt;$E$24,E35,0))))))</f>
        <v>23</v>
      </c>
      <c r="E35" s="1123">
        <v>23</v>
      </c>
      <c r="F35" s="1123">
        <v>24.8</v>
      </c>
      <c r="G35" s="1123">
        <v>26.5</v>
      </c>
      <c r="H35" s="1124">
        <f>G35*I35</f>
        <v>23.85</v>
      </c>
      <c r="I35" s="1125">
        <v>0.9</v>
      </c>
      <c r="J35" s="1122">
        <f>IF(AND('2-Dati generali-Cond. utilizzo'!$C$42=2,'2-Dati generali-Cond. utilizzo'!$C$42=3),IF($H$14&lt;=$K$24,K35,IF(AND($H$14&gt;=$K$24,$H$14&lt;=$L$24),K35+(L35-K35)/($L$24-$K$24)*($H$14-$K$24),IF(AND($H$14&gt;=$L$24,$H$14&lt;=$M$24),L35+(M35-L35)/($M$24-$L$24)*($H$14-$L$24),IF(AND($H$14&gt;=$M$24,$H$14&lt;=$N$24),M35+(N35-M35)/($N$24-$M$24)*($H$14-$M$24),IF(AND($H$14&gt;=$N$24,$H$14&lt;=$O$24),N35+(O35-N35)/($O$24-$N$24)*($H$14-$N$24),IF(AND($H$14&gt;=$O$24,$H$14&lt;=$P$24),O35+(P35-O35)/($P$24-$O$24)*($H$14-$O$24),IF($H$14&gt;$P$24,P35,0)))))))/'1-Ore funzionamento'!$AI$7,IF($H$14&lt;=$K$24,K35,IF(AND($H$14&gt;=$K$24,$H$14&lt;=$L$24),K35+(L35-K35)/($L$24-$K$24)*($H$14-$K$24),IF(AND($H$14&gt;=$L$24,$H$14&lt;=$M$24),L35+(M35-L35)/($M$24-$L$24)*($H$14-$L$24),IF(AND($H$14&gt;=$M$24,$H$14&lt;=$N$24),M35+(N35-M35)/($N$24-$M$24)*($H$14-$M$24),IF(AND($H$14&gt;=$N$24,$H$14&lt;=$O$24),N35+(O35-N35)/($O$24-$N$24)*($H$14-$N$24),IF(AND($H$14&gt;=$O$24,$H$14&lt;=$P$24),O35+(P35-O35)/($P$24-$O$24)*($H$14-$O$24),IF($H$14&gt;$P$24,P35,0))))))))</f>
        <v>31.983333333333334</v>
      </c>
      <c r="K35" s="1123">
        <v>43.9</v>
      </c>
      <c r="L35" s="1123">
        <v>38.4</v>
      </c>
      <c r="M35" s="1123">
        <v>34</v>
      </c>
      <c r="N35" s="1123">
        <v>26.3</v>
      </c>
      <c r="O35" s="1123">
        <v>23.4</v>
      </c>
      <c r="P35" s="1124">
        <f t="shared" ref="P35:P38" si="6">O35*Q35</f>
        <v>19.889999999999997</v>
      </c>
      <c r="Q35" s="1125">
        <v>0.85</v>
      </c>
    </row>
    <row r="36" spans="1:17" x14ac:dyDescent="0.25">
      <c r="A36" s="1121">
        <v>20</v>
      </c>
      <c r="B36" s="1111">
        <v>0.9</v>
      </c>
      <c r="C36" s="1111">
        <f t="shared" si="5"/>
        <v>9.4736842105263161E-2</v>
      </c>
      <c r="D36" s="1147">
        <f>IF(AND('2-Dati generali-Cond. utilizzo'!$C$42=2,'2-Dati generali-Cond. utilizzo'!$C$42=3),IF($B$14&gt;=$H$24,H36,IF(AND($B$14&gt;=$G$24,$B$14&lt;$H$24),H36+(G36-H36)/($G$24-$H$24)*($B$14-$H$24),IF(AND($B$14&gt;=$F$24,$B$14&lt;$G$24),G36+(F36-G36)/($F$24-$G$24)*($B$14-$G$24),IF(AND($B$14&gt;=$E$24,$B$14&lt;$F$24),F36+(E36-F36)/($E$24-$F$24)*($B$14-$F$24),IF($B$14&lt;$E$24,E36,0)))))/'1-Ore funzionamento'!$AI$7,IF($B$14&gt;=$H$24,H36,IF(AND($B$14&gt;=$G$24,$B$14&lt;$H$24),H36+(G36-H36)/($G$24-$H$24)*($B$14-$H$24),IF(AND($B$14&gt;=$F$24,$B$14&lt;$G$24),G36+(F36-G36)/($F$24-$G$24)*($B$14-$G$24),IF(AND($B$14&gt;=$E$24,$B$14&lt;$F$24),F36+(E36-F36)/($E$24-$F$24)*($B$14-$F$24),IF($B$14&lt;$E$24,E36,0))))))</f>
        <v>29.4</v>
      </c>
      <c r="E36" s="1123">
        <v>29.4</v>
      </c>
      <c r="F36" s="1123">
        <v>31.5</v>
      </c>
      <c r="G36" s="1123">
        <v>33.4</v>
      </c>
      <c r="H36" s="1124">
        <f t="shared" ref="H36:H38" si="7">G36*I36</f>
        <v>30.06</v>
      </c>
      <c r="I36" s="1126">
        <v>0.9</v>
      </c>
      <c r="J36" s="1122">
        <f>IF(AND('2-Dati generali-Cond. utilizzo'!$C$42=2,'2-Dati generali-Cond. utilizzo'!$C$42=3),IF($H$14&lt;=$K$24,K36,IF(AND($H$14&gt;=$K$24,$H$14&lt;=$L$24),K36+(L36-K36)/($L$24-$K$24)*($H$14-$K$24),IF(AND($H$14&gt;=$L$24,$H$14&lt;=$M$24),L36+(M36-L36)/($M$24-$L$24)*($H$14-$L$24),IF(AND($H$14&gt;=$M$24,$H$14&lt;=$N$24),M36+(N36-M36)/($N$24-$M$24)*($H$14-$M$24),IF(AND($H$14&gt;=$N$24,$H$14&lt;=$O$24),N36+(O36-N36)/($O$24-$N$24)*($H$14-$N$24),IF(AND($H$14&gt;=$O$24,$H$14&lt;=$P$24),O36+(P36-O36)/($P$24-$O$24)*($H$14-$O$24),IF($H$14&gt;$P$24,P36,0)))))))/'1-Ore funzionamento'!$AI$7,IF($H$14&lt;=$K$24,K36,IF(AND($H$14&gt;=$K$24,$H$14&lt;=$L$24),K36+(L36-K36)/($L$24-$K$24)*($H$14-$K$24),IF(AND($H$14&gt;=$L$24,$H$14&lt;=$M$24),L36+(M36-L36)/($M$24-$L$24)*($H$14-$L$24),IF(AND($H$14&gt;=$M$24,$H$14&lt;=$N$24),M36+(N36-M36)/($N$24-$M$24)*($H$14-$M$24),IF(AND($H$14&gt;=$N$24,$H$14&lt;=$O$24),N36+(O36-N36)/($O$24-$N$24)*($H$14-$N$24),IF(AND($H$14&gt;=$O$24,$H$14&lt;=$P$24),O36+(P36-O36)/($P$24-$O$24)*($H$14-$O$24),IF($H$14&gt;$P$24,P36,0))))))))</f>
        <v>43.438095238095237</v>
      </c>
      <c r="K36" s="1123">
        <v>54</v>
      </c>
      <c r="L36" s="1123">
        <v>50.1</v>
      </c>
      <c r="M36" s="1123">
        <v>47</v>
      </c>
      <c r="N36" s="1123">
        <v>33.4</v>
      </c>
      <c r="O36" s="1123">
        <v>29.8</v>
      </c>
      <c r="P36" s="1124">
        <f t="shared" si="6"/>
        <v>25.33</v>
      </c>
      <c r="Q36" s="1127">
        <v>0.85</v>
      </c>
    </row>
    <row r="37" spans="1:17" x14ac:dyDescent="0.25">
      <c r="A37" s="1121">
        <v>25</v>
      </c>
      <c r="B37" s="1111">
        <v>0.9</v>
      </c>
      <c r="C37" s="1111">
        <f t="shared" si="5"/>
        <v>9.4736842105263161E-2</v>
      </c>
      <c r="D37" s="1147">
        <f>IF(AND('2-Dati generali-Cond. utilizzo'!$C$42=2,'2-Dati generali-Cond. utilizzo'!$C$42=3),IF($B$14&gt;=$H$24,H37,IF(AND($B$14&gt;=$G$24,$B$14&lt;$H$24),H37+(G37-H37)/($G$24-$H$24)*($B$14-$H$24),IF(AND($B$14&gt;=$F$24,$B$14&lt;$G$24),G37+(F37-G37)/($F$24-$G$24)*($B$14-$G$24),IF(AND($B$14&gt;=$E$24,$B$14&lt;$F$24),F37+(E37-F37)/($E$24-$F$24)*($B$14-$F$24),IF($B$14&lt;$E$24,E37,0)))))/'1-Ore funzionamento'!$AI$7,IF($B$14&gt;=$H$24,H37,IF(AND($B$14&gt;=$G$24,$B$14&lt;$H$24),H37+(G37-H37)/($G$24-$H$24)*($B$14-$H$24),IF(AND($B$14&gt;=$F$24,$B$14&lt;$G$24),G37+(F37-G37)/($F$24-$G$24)*($B$14-$G$24),IF(AND($B$14&gt;=$E$24,$B$14&lt;$F$24),F37+(E37-F37)/($E$24-$F$24)*($B$14-$F$24),IF($B$14&lt;$E$24,E37,0))))))</f>
        <v>40.299999999999997</v>
      </c>
      <c r="E37" s="1123">
        <v>40.299999999999997</v>
      </c>
      <c r="F37" s="1123">
        <v>42.9</v>
      </c>
      <c r="G37" s="1123">
        <v>45.3</v>
      </c>
      <c r="H37" s="1124">
        <f t="shared" si="7"/>
        <v>40.769999999999996</v>
      </c>
      <c r="I37" s="1126">
        <v>0.9</v>
      </c>
      <c r="J37" s="1122">
        <f>IF(AND('2-Dati generali-Cond. utilizzo'!$C$42=2,'2-Dati generali-Cond. utilizzo'!$C$42=3),IF($H$14&lt;=$K$24,K37,IF(AND($H$14&gt;=$K$24,$H$14&lt;=$L$24),K37+(L37-K37)/($L$24-$K$24)*($H$14-$K$24),IF(AND($H$14&gt;=$L$24,$H$14&lt;=$M$24),L37+(M37-L37)/($M$24-$L$24)*($H$14-$L$24),IF(AND($H$14&gt;=$M$24,$H$14&lt;=$N$24),M37+(N37-M37)/($N$24-$M$24)*($H$14-$M$24),IF(AND($H$14&gt;=$N$24,$H$14&lt;=$O$24),N37+(O37-N37)/($O$24-$N$24)*($H$14-$N$24),IF(AND($H$14&gt;=$O$24,$H$14&lt;=$P$24),O37+(P37-O37)/($P$24-$O$24)*($H$14-$O$24),IF($H$14&gt;$P$24,P37,0)))))))/'1-Ore funzionamento'!$AI$7,IF($H$14&lt;=$K$24,K37,IF(AND($H$14&gt;=$K$24,$H$14&lt;=$L$24),K37+(L37-K37)/($L$24-$K$24)*($H$14-$K$24),IF(AND($H$14&gt;=$L$24,$H$14&lt;=$M$24),L37+(M37-L37)/($M$24-$L$24)*($H$14-$L$24),IF(AND($H$14&gt;=$M$24,$H$14&lt;=$N$24),M37+(N37-M37)/($N$24-$M$24)*($H$14-$M$24),IF(AND($H$14&gt;=$N$24,$H$14&lt;=$O$24),N37+(O37-N37)/($O$24-$N$24)*($H$14-$N$24),IF(AND($H$14&gt;=$O$24,$H$14&lt;=$P$24),O37+(P37-O37)/($P$24-$O$24)*($H$14-$O$24),IF($H$14&gt;$P$24,P37,0))))))))</f>
        <v>60.354761904761908</v>
      </c>
      <c r="K37" s="1123">
        <v>63.1</v>
      </c>
      <c r="L37" s="1123">
        <v>64.3</v>
      </c>
      <c r="M37" s="1123">
        <v>65.2</v>
      </c>
      <c r="N37" s="1123">
        <v>46.7</v>
      </c>
      <c r="O37" s="1123">
        <v>41.1</v>
      </c>
      <c r="P37" s="1124">
        <f t="shared" si="6"/>
        <v>34.935000000000002</v>
      </c>
      <c r="Q37" s="1127">
        <v>0.85</v>
      </c>
    </row>
    <row r="38" spans="1:17" ht="16.5" thickBot="1" x14ac:dyDescent="0.3">
      <c r="A38" s="1128">
        <v>30</v>
      </c>
      <c r="B38" s="1116">
        <v>0.9</v>
      </c>
      <c r="C38" s="1111">
        <f t="shared" si="5"/>
        <v>9.4736842105263161E-2</v>
      </c>
      <c r="D38" s="1147">
        <f>IF(AND('2-Dati generali-Cond. utilizzo'!$C$42=2,'2-Dati generali-Cond. utilizzo'!$C$42=3),IF($B$14&gt;=$H$24,H38,IF(AND($B$14&gt;=$G$24,$B$14&lt;$H$24),H38+(G38-H38)/($G$24-$H$24)*($B$14-$H$24),IF(AND($B$14&gt;=$F$24,$B$14&lt;$G$24),G38+(F38-G38)/($F$24-$G$24)*($B$14-$G$24),IF(AND($B$14&gt;=$E$24,$B$14&lt;$F$24),F38+(E38-F38)/($E$24-$F$24)*($B$14-$F$24),IF($B$14&lt;$E$24,E38,0)))))/'1-Ore funzionamento'!$AI$7,IF($B$14&gt;=$H$24,H38,IF(AND($B$14&gt;=$G$24,$B$14&lt;$H$24),H38+(G38-H38)/($G$24-$H$24)*($B$14-$H$24),IF(AND($B$14&gt;=$F$24,$B$14&lt;$G$24),G38+(F38-G38)/($F$24-$G$24)*($B$14-$G$24),IF(AND($B$14&gt;=$E$24,$B$14&lt;$F$24),F38+(E38-F38)/($E$24-$F$24)*($B$14-$F$24),IF($B$14&lt;$E$24,E38,0))))))</f>
        <v>53.2</v>
      </c>
      <c r="E38" s="1130">
        <v>53.2</v>
      </c>
      <c r="F38" s="1130">
        <v>57.1</v>
      </c>
      <c r="G38" s="1130">
        <v>60.7</v>
      </c>
      <c r="H38" s="1124">
        <f t="shared" si="7"/>
        <v>54.63</v>
      </c>
      <c r="I38" s="1126">
        <v>0.9</v>
      </c>
      <c r="J38" s="1129">
        <f>IF(AND('2-Dati generali-Cond. utilizzo'!$C$42=2,'2-Dati generali-Cond. utilizzo'!$C$42=3),IF($H$14&lt;=$K$24,K38,IF(AND($H$14&gt;=$K$24,$H$14&lt;=$L$24),K38+(L38-K38)/($L$24-$K$24)*($H$14-$K$24),IF(AND($H$14&gt;=$L$24,$H$14&lt;=$M$24),L38+(M38-L38)/($M$24-$L$24)*($H$14-$L$24),IF(AND($H$14&gt;=$M$24,$H$14&lt;=$N$24),M38+(N38-M38)/($N$24-$M$24)*($H$14-$M$24),IF(AND($H$14&gt;=$N$24,$H$14&lt;=$O$24),N38+(O38-N38)/($O$24-$N$24)*($H$14-$N$24),IF(AND($H$14&gt;=$O$24,$H$14&lt;=$P$24),O38+(P38-O38)/($P$24-$O$24)*($H$14-$O$24),IF($H$14&gt;$P$24,P38,0)))))))/'1-Ore funzionamento'!$AI$7,IF($H$14&lt;=$K$24,K38,IF(AND($H$14&gt;=$K$24,$H$14&lt;=$L$24),K38+(L38-K38)/($L$24-$K$24)*($H$14-$K$24),IF(AND($H$14&gt;=$L$24,$H$14&lt;=$M$24),L38+(M38-L38)/($M$24-$L$24)*($H$14-$L$24),IF(AND($H$14&gt;=$M$24,$H$14&lt;=$N$24),M38+(N38-M38)/($N$24-$M$24)*($H$14-$M$24),IF(AND($H$14&gt;=$N$24,$H$14&lt;=$O$24),N38+(O38-N38)/($O$24-$N$24)*($H$14-$N$24),IF(AND($H$14&gt;=$O$24,$H$14&lt;=$P$24),O38+(P38-O38)/($P$24-$O$24)*($H$14-$O$24),IF($H$14&gt;$P$24,P38,0))))))))</f>
        <v>68.052380952380943</v>
      </c>
      <c r="K38" s="1130">
        <v>73.400000000000006</v>
      </c>
      <c r="L38" s="1130">
        <v>72.2</v>
      </c>
      <c r="M38" s="1130">
        <v>71.3</v>
      </c>
      <c r="N38" s="1130">
        <v>58.9</v>
      </c>
      <c r="O38" s="1130">
        <v>53.7</v>
      </c>
      <c r="P38" s="1131">
        <f t="shared" si="6"/>
        <v>45.645000000000003</v>
      </c>
      <c r="Q38" s="1125">
        <v>0.85</v>
      </c>
    </row>
    <row r="39" spans="1:17" x14ac:dyDescent="0.25">
      <c r="A39" s="1118">
        <v>8</v>
      </c>
      <c r="B39" s="1119">
        <v>0.8</v>
      </c>
      <c r="C39" s="1119">
        <f>'1-Ore funzionamento'!AF9</f>
        <v>0.15789473684210525</v>
      </c>
      <c r="D39" s="1147">
        <f>IF(AND('2-Dati generali-Cond. utilizzo'!$C$42=2,'2-Dati generali-Cond. utilizzo'!$C$42=3),IF($B$15&gt;=$H$24,H39,IF(AND($B$15&gt;=$G$24,$B$15&lt;$H$24),H39+(G39-H39)/($G$24-$H$24)*($B$15-$H$24),IF(AND($B$15&gt;=$F$24,$B$15&lt;$G$24),G39+(F39-G39)/($F$24-$G$24)*($B$15-$G$24),IF(AND($B$15&gt;=$E$24,$B$15&lt;$F$24),F39+(E39-F39)/($E$24-$F$24)*($B$15-$F$24),IF($B$15&lt;$E$24,E39,0)))))/'1-Ore funzionamento'!$AI$7,IF($B$15&gt;=$H$24,H39,IF(AND($B$15&gt;=$G$24,$B$15&lt;$H$24),H39+(G39-H39)/($G$24-$H$24)*($B$15-$H$24),IF(AND($B$15&gt;=$F$24,$B$15&lt;$G$24),G39+(F39-G39)/($F$24-$G$24)*($B$15-$G$24),IF(AND($B$15&gt;=$E$24,$B$15&lt;$F$24),F39+(E39-F39)/($E$24-$F$24)*($B$15-$F$24),IF($B$15&lt;$E$24,E39,0))))))</f>
        <v>9.5</v>
      </c>
      <c r="E39" s="1028">
        <v>9.5</v>
      </c>
      <c r="F39" s="1028">
        <v>10.5</v>
      </c>
      <c r="G39" s="1028">
        <v>11.5</v>
      </c>
      <c r="H39" s="1029">
        <v>12.5</v>
      </c>
      <c r="J39" s="1120">
        <f>IF(AND('2-Dati generali-Cond. utilizzo'!$C$42=2,'2-Dati generali-Cond. utilizzo'!$C$42=3),IF($H$15&lt;=$K$24,K39,IF(AND($H$15&gt;=$K$24,$H$15&lt;=$L$24),K39+(L39-K39)/($L$24-$K$24)*($H$15-$K$24),IF(AND($H$15&gt;=$L$24,$H$15&lt;=$M$24),L39+(M39-L39)/($M$24-$L$24)*($H$15-$L$24),IF(AND($H$15&gt;=$M$24,$H$15&lt;=$N$24),M39+(N39-M39)/($N$24-$M$24)*($H$15-$M$24),IF(AND($H$15&gt;=$N$24,$H$15&lt;=$O$24),N39+(O39-N39)/($O$24-$N$24)*($H$15-$N$24),IF(AND($H$15&gt;=$O$24,$H$15&lt;=$P$24),O39+(P39-O39)/($P$24-$O$24)*($H$15-$O$24),IF($H$15&gt;$P$24,P39,0)))))))/'1-Ore funzionamento'!$AI$7,IF($H$15&lt;=$K$24,K39,IF(AND($H$15&gt;=$K$24,$H$15&lt;=$L$24),K39+(L39-K39)/($L$24-$K$24)*($H$15-$K$24),IF(AND($H$15&gt;=$L$24,$H$15&lt;=$M$24),L39+(M39-L39)/($M$24-$L$24)*($H$15-$L$24),IF(AND($H$15&gt;=$M$24,$H$15&lt;=$N$24),M39+(N39-M39)/($N$24-$M$24)*($H$15-$M$24),IF(AND($H$15&gt;=$N$24,$H$15&lt;=$O$24),N39+(O39-N39)/($O$24-$N$24)*($H$15-$N$24),IF(AND($H$15&gt;=$O$24,$H$15&lt;=$P$24),O39+(P39-O39)/($P$24-$O$24)*($H$15-$O$24),IF($H$15&gt;$P$24,P39,0))))))))</f>
        <v>14.357857142857142</v>
      </c>
      <c r="K39" s="1028">
        <v>22.72</v>
      </c>
      <c r="L39" s="1028">
        <v>20.61</v>
      </c>
      <c r="M39" s="1028">
        <v>17.61</v>
      </c>
      <c r="N39" s="1028">
        <v>12.9</v>
      </c>
      <c r="O39" s="1028">
        <v>10.8</v>
      </c>
      <c r="P39" s="1029">
        <v>9.6999999999999993</v>
      </c>
      <c r="Q39" s="1090"/>
    </row>
    <row r="40" spans="1:17" x14ac:dyDescent="0.25">
      <c r="A40" s="1121">
        <v>10</v>
      </c>
      <c r="B40" s="1111">
        <v>0.8</v>
      </c>
      <c r="C40" s="1111">
        <f t="shared" ref="C40:C45" si="8">$C$39</f>
        <v>0.15789473684210525</v>
      </c>
      <c r="D40" s="1147">
        <f>IF(AND('2-Dati generali-Cond. utilizzo'!$C$42=2,'2-Dati generali-Cond. utilizzo'!$C$42=3),IF($B$15&gt;=$H$24,H40,IF(AND($B$15&gt;=$G$24,$B$15&lt;$H$24),H40+(G40-H40)/($G$24-$H$24)*($B$15-$H$24),IF(AND($B$15&gt;=$F$24,$B$15&lt;$G$24),G40+(F40-G40)/($F$24-$G$24)*($B$15-$G$24),IF(AND($B$15&gt;=$E$24,$B$15&lt;$F$24),F40+(E40-F40)/($E$24-$F$24)*($B$15-$F$24),IF($B$15&lt;$E$24,E40,0)))))/'1-Ore funzionamento'!$AI$7,IF($B$15&gt;=$H$24,H40,IF(AND($B$15&gt;=$G$24,$B$15&lt;$H$24),H40+(G40-H40)/($G$24-$H$24)*($B$15-$H$24),IF(AND($B$15&gt;=$F$24,$B$15&lt;$G$24),G40+(F40-G40)/($F$24-$G$24)*($B$15-$G$24),IF(AND($B$15&gt;=$E$24,$B$15&lt;$F$24),F40+(E40-F40)/($E$24-$F$24)*($B$15-$F$24),IF($B$15&lt;$E$24,E40,0))))))</f>
        <v>11.3</v>
      </c>
      <c r="E40" s="1031">
        <v>11.3</v>
      </c>
      <c r="F40" s="1031">
        <v>12.3</v>
      </c>
      <c r="G40" s="1031">
        <v>13.5</v>
      </c>
      <c r="H40" s="1032">
        <v>14.7</v>
      </c>
      <c r="J40" s="1122">
        <f>IF(AND('2-Dati generali-Cond. utilizzo'!$C$42=2,'2-Dati generali-Cond. utilizzo'!$C$42=3),IF($H$15&lt;=$K$24,K40,IF(AND($H$15&gt;=$K$24,$H$15&lt;=$L$24),K40+(L40-K40)/($L$24-$K$24)*($H$15-$K$24),IF(AND($H$15&gt;=$L$24,$H$15&lt;=$M$24),L40+(M40-L40)/($M$24-$L$24)*($H$15-$L$24),IF(AND($H$15&gt;=$M$24,$H$15&lt;=$N$24),M40+(N40-M40)/($N$24-$M$24)*($H$15-$M$24),IF(AND($H$15&gt;=$N$24,$H$15&lt;=$O$24),N40+(O40-N40)/($O$24-$N$24)*($H$15-$N$24),IF(AND($H$15&gt;=$O$24,$H$15&lt;=$P$24),O40+(P40-O40)/($P$24-$O$24)*($H$15-$O$24),IF($H$15&gt;$P$24,P40,0)))))))/'1-Ore funzionamento'!$AI$7,IF($H$15&lt;=$K$24,K40,IF(AND($H$15&gt;=$K$24,$H$15&lt;=$L$24),K40+(L40-K40)/($L$24-$K$24)*($H$15-$K$24),IF(AND($H$15&gt;=$L$24,$H$15&lt;=$M$24),L40+(M40-L40)/($M$24-$L$24)*($H$15-$L$24),IF(AND($H$15&gt;=$M$24,$H$15&lt;=$N$24),M40+(N40-M40)/($N$24-$M$24)*($H$15-$M$24),IF(AND($H$15&gt;=$N$24,$H$15&lt;=$O$24),N40+(O40-N40)/($O$24-$N$24)*($H$15-$N$24),IF(AND($H$15&gt;=$O$24,$H$15&lt;=$P$24),O40+(P40-O40)/($P$24-$O$24)*($H$15-$O$24),IF($H$15&gt;$P$24,P40,0))))))))</f>
        <v>17.754999999999999</v>
      </c>
      <c r="K40" s="1031">
        <v>29.4</v>
      </c>
      <c r="L40" s="1031">
        <v>24.99</v>
      </c>
      <c r="M40" s="1031">
        <v>21.67</v>
      </c>
      <c r="N40" s="1031">
        <v>16</v>
      </c>
      <c r="O40" s="1031">
        <v>13.6</v>
      </c>
      <c r="P40" s="1032">
        <v>11.6</v>
      </c>
      <c r="Q40" s="1090"/>
    </row>
    <row r="41" spans="1:17" x14ac:dyDescent="0.25">
      <c r="A41" s="1121">
        <v>13</v>
      </c>
      <c r="B41" s="1111">
        <v>0.8</v>
      </c>
      <c r="C41" s="1111">
        <f t="shared" si="8"/>
        <v>0.15789473684210525</v>
      </c>
      <c r="D41" s="1147">
        <f>IF(AND('2-Dati generali-Cond. utilizzo'!$C$42=2,'2-Dati generali-Cond. utilizzo'!$C$42=3),IF($B$15&gt;=$H$24,H41,IF(AND($B$15&gt;=$G$24,$B$15&lt;$H$24),H41+(G41-H41)/($G$24-$H$24)*($B$15-$H$24),IF(AND($B$15&gt;=$F$24,$B$15&lt;$G$24),G41+(F41-G41)/($F$24-$G$24)*($B$15-$G$24),IF(AND($B$15&gt;=$E$24,$B$15&lt;$F$24),F41+(E41-F41)/($E$24-$F$24)*($B$15-$F$24),IF($B$15&lt;$E$24,E41,0)))))/'1-Ore funzionamento'!$AI$7,IF($B$15&gt;=$H$24,H41,IF(AND($B$15&gt;=$G$24,$B$15&lt;$H$24),H41+(G41-H41)/($G$24-$H$24)*($B$15-$H$24),IF(AND($B$15&gt;=$F$24,$B$15&lt;$G$24),G41+(F41-G41)/($F$24-$G$24)*($B$15-$G$24),IF(AND($B$15&gt;=$E$24,$B$15&lt;$F$24),F41+(E41-F41)/($E$24-$F$24)*($B$15-$F$24),IF($B$15&lt;$E$24,E41,0))))))</f>
        <v>16</v>
      </c>
      <c r="E41" s="1123">
        <v>16</v>
      </c>
      <c r="F41" s="1123">
        <v>17.5</v>
      </c>
      <c r="G41" s="1123">
        <v>19.100000000000001</v>
      </c>
      <c r="H41" s="1124">
        <v>20.7</v>
      </c>
      <c r="J41" s="1122">
        <f>IF(AND('2-Dati generali-Cond. utilizzo'!$C$42=2,'2-Dati generali-Cond. utilizzo'!$C$42=3),IF($H$15&lt;=$K$24,K41,IF(AND($H$15&gt;=$K$24,$H$15&lt;=$L$24),K41+(L41-K41)/($L$24-$K$24)*($H$15-$K$24),IF(AND($H$15&gt;=$L$24,$H$15&lt;=$M$24),L41+(M41-L41)/($M$24-$L$24)*($H$15-$L$24),IF(AND($H$15&gt;=$M$24,$H$15&lt;=$N$24),M41+(N41-M41)/($N$24-$M$24)*($H$15-$M$24),IF(AND($H$15&gt;=$N$24,$H$15&lt;=$O$24),N41+(O41-N41)/($O$24-$N$24)*($H$15-$N$24),IF(AND($H$15&gt;=$O$24,$H$15&lt;=$P$24),O41+(P41-O41)/($P$24-$O$24)*($H$15-$O$24),IF($H$15&gt;$P$24,P41,0)))))))/'1-Ore funzionamento'!$AI$7,IF($H$15&lt;=$K$24,K41,IF(AND($H$15&gt;=$K$24,$H$15&lt;=$L$24),K41+(L41-K41)/($L$24-$K$24)*($H$15-$K$24),IF(AND($H$15&gt;=$L$24,$H$15&lt;=$M$24),L41+(M41-L41)/($M$24-$L$24)*($H$15-$L$24),IF(AND($H$15&gt;=$M$24,$H$15&lt;=$N$24),M41+(N41-M41)/($N$24-$M$24)*($H$15-$M$24),IF(AND($H$15&gt;=$N$24,$H$15&lt;=$O$24),N41+(O41-N41)/($O$24-$N$24)*($H$15-$N$24),IF(AND($H$15&gt;=$O$24,$H$15&lt;=$P$24),O41+(P41-O41)/($P$24-$O$24)*($H$15-$O$24),IF($H$15&gt;$P$24,P41,0))))))))</f>
        <v>21.314047619047621</v>
      </c>
      <c r="K41" s="1123">
        <v>24.89</v>
      </c>
      <c r="L41" s="1123">
        <v>25.67</v>
      </c>
      <c r="M41" s="1123">
        <v>26.03</v>
      </c>
      <c r="N41" s="1123">
        <v>19.2</v>
      </c>
      <c r="O41" s="1123">
        <v>15.6</v>
      </c>
      <c r="P41" s="1124">
        <v>13.4</v>
      </c>
      <c r="Q41" s="1090"/>
    </row>
    <row r="42" spans="1:17" x14ac:dyDescent="0.25">
      <c r="A42" s="1121">
        <v>16</v>
      </c>
      <c r="B42" s="1111">
        <v>0.8</v>
      </c>
      <c r="C42" s="1111">
        <f t="shared" si="8"/>
        <v>0.15789473684210525</v>
      </c>
      <c r="D42" s="1147">
        <f>IF(AND('2-Dati generali-Cond. utilizzo'!$C$42=2,'2-Dati generali-Cond. utilizzo'!$C$42=3),IF($B$15&gt;=$H$24,H42,IF(AND($B$15&gt;=$G$24,$B$15&lt;$H$24),H42+(G42-H42)/($G$24-$H$24)*($B$15-$H$24),IF(AND($B$15&gt;=$F$24,$B$15&lt;$G$24),G42+(F42-G42)/($F$24-$G$24)*($B$15-$G$24),IF(AND($B$15&gt;=$E$24,$B$15&lt;$F$24),F42+(E42-F42)/($E$24-$F$24)*($B$15-$F$24),IF($B$15&lt;$E$24,E42,0)))))/'1-Ore funzionamento'!$AI$7,IF($B$15&gt;=$H$24,H42,IF(AND($B$15&gt;=$G$24,$B$15&lt;$H$24),H42+(G42-H42)/($G$24-$H$24)*($B$15-$H$24),IF(AND($B$15&gt;=$F$24,$B$15&lt;$G$24),G42+(F42-G42)/($F$24-$G$24)*($B$15-$G$24),IF(AND($B$15&gt;=$E$24,$B$15&lt;$F$24),F42+(E42-F42)/($E$24-$F$24)*($B$15-$F$24),IF($B$15&lt;$E$24,E42,0))))))</f>
        <v>18.7</v>
      </c>
      <c r="E42" s="1123">
        <v>18.7</v>
      </c>
      <c r="F42" s="1123">
        <v>20.2</v>
      </c>
      <c r="G42" s="1123">
        <v>21.6</v>
      </c>
      <c r="H42" s="1124">
        <f>G42*I42</f>
        <v>19.440000000000001</v>
      </c>
      <c r="I42" s="1125">
        <v>0.9</v>
      </c>
      <c r="J42" s="1122">
        <f>IF(AND('2-Dati generali-Cond. utilizzo'!$C$42=2,'2-Dati generali-Cond. utilizzo'!$C$42=3),IF($H$15&lt;=$K$24,K42,IF(AND($H$15&gt;=$K$24,$H$15&lt;=$L$24),K42+(L42-K42)/($L$24-$K$24)*($H$15-$K$24),IF(AND($H$15&gt;=$L$24,$H$15&lt;=$M$24),L42+(M42-L42)/($M$24-$L$24)*($H$15-$L$24),IF(AND($H$15&gt;=$M$24,$H$15&lt;=$N$24),M42+(N42-M42)/($N$24-$M$24)*($H$15-$M$24),IF(AND($H$15&gt;=$N$24,$H$15&lt;=$O$24),N42+(O42-N42)/($O$24-$N$24)*($H$15-$N$24),IF(AND($H$15&gt;=$O$24,$H$15&lt;=$P$24),O42+(P42-O42)/($P$24-$O$24)*($H$15-$O$24),IF($H$15&gt;$P$24,P42,0)))))))/'1-Ore funzionamento'!$AI$7,IF($H$15&lt;=$K$24,K42,IF(AND($H$15&gt;=$K$24,$H$15&lt;=$L$24),K42+(L42-K42)/($L$24-$K$24)*($H$15-$K$24),IF(AND($H$15&gt;=$L$24,$H$15&lt;=$M$24),L42+(M42-L42)/($M$24-$L$24)*($H$15-$L$24),IF(AND($H$15&gt;=$M$24,$H$15&lt;=$N$24),M42+(N42-M42)/($N$24-$M$24)*($H$15-$M$24),IF(AND($H$15&gt;=$N$24,$H$15&lt;=$O$24),N42+(O42-N42)/($O$24-$N$24)*($H$15-$N$24),IF(AND($H$15&gt;=$O$24,$H$15&lt;=$P$24),O42+(P42-O42)/($P$24-$O$24)*($H$15-$O$24),IF($H$15&gt;$P$24,P42,0))))))))</f>
        <v>24.378571428571426</v>
      </c>
      <c r="K42" s="1123">
        <v>35.9</v>
      </c>
      <c r="L42" s="1123">
        <v>31.4</v>
      </c>
      <c r="M42" s="1123">
        <v>27.9</v>
      </c>
      <c r="N42" s="1123">
        <v>22.8</v>
      </c>
      <c r="O42" s="1123">
        <v>20.100000000000001</v>
      </c>
      <c r="P42" s="1124">
        <f>O42*Q42</f>
        <v>17.085000000000001</v>
      </c>
      <c r="Q42" s="1125">
        <v>0.85</v>
      </c>
    </row>
    <row r="43" spans="1:17" x14ac:dyDescent="0.25">
      <c r="A43" s="1121">
        <v>20</v>
      </c>
      <c r="B43" s="1111">
        <v>0.8</v>
      </c>
      <c r="C43" s="1111">
        <f t="shared" si="8"/>
        <v>0.15789473684210525</v>
      </c>
      <c r="D43" s="1147">
        <f>IF(AND('2-Dati generali-Cond. utilizzo'!$C$42=2,'2-Dati generali-Cond. utilizzo'!$C$42=3),IF($B$15&gt;=$H$24,H43,IF(AND($B$15&gt;=$G$24,$B$15&lt;$H$24),H43+(G43-H43)/($G$24-$H$24)*($B$15-$H$24),IF(AND($B$15&gt;=$F$24,$B$15&lt;$G$24),G43+(F43-G43)/($F$24-$G$24)*($B$15-$G$24),IF(AND($B$15&gt;=$E$24,$B$15&lt;$F$24),F43+(E43-F43)/($E$24-$F$24)*($B$15-$F$24),IF($B$15&lt;$E$24,E43,0)))))/'1-Ore funzionamento'!$AI$7,IF($B$15&gt;=$H$24,H43,IF(AND($B$15&gt;=$G$24,$B$15&lt;$H$24),H43+(G43-H43)/($G$24-$H$24)*($B$15-$H$24),IF(AND($B$15&gt;=$F$24,$B$15&lt;$G$24),G43+(F43-G43)/($F$24-$G$24)*($B$15-$G$24),IF(AND($B$15&gt;=$E$24,$B$15&lt;$F$24),F43+(E43-F43)/($E$24-$F$24)*($B$15-$F$24),IF($B$15&lt;$E$24,E43,0))))))</f>
        <v>24.2</v>
      </c>
      <c r="E43" s="1123">
        <v>24.2</v>
      </c>
      <c r="F43" s="1123">
        <v>26.1</v>
      </c>
      <c r="G43" s="1123">
        <v>27.9</v>
      </c>
      <c r="H43" s="1124">
        <f t="shared" ref="H43:H45" si="9">G43*I43</f>
        <v>25.11</v>
      </c>
      <c r="I43" s="1126">
        <v>0.9</v>
      </c>
      <c r="J43" s="1122">
        <f>IF(AND('2-Dati generali-Cond. utilizzo'!$C$42=2,'2-Dati generali-Cond. utilizzo'!$C$42=3),IF($H$15&lt;=$K$24,K43,IF(AND($H$15&gt;=$K$24,$H$15&lt;=$L$24),K43+(L43-K43)/($L$24-$K$24)*($H$15-$K$24),IF(AND($H$15&gt;=$L$24,$H$15&lt;=$M$24),L43+(M43-L43)/($M$24-$L$24)*($H$15-$L$24),IF(AND($H$15&gt;=$M$24,$H$15&lt;=$N$24),M43+(N43-M43)/($N$24-$M$24)*($H$15-$M$24),IF(AND($H$15&gt;=$N$24,$H$15&lt;=$O$24),N43+(O43-N43)/($O$24-$N$24)*($H$15-$N$24),IF(AND($H$15&gt;=$O$24,$H$15&lt;=$P$24),O43+(P43-O43)/($P$24-$O$24)*($H$15-$O$24),IF($H$15&gt;$P$24,P43,0)))))))/'1-Ore funzionamento'!$AI$7,IF($H$15&lt;=$K$24,K43,IF(AND($H$15&gt;=$K$24,$H$15&lt;=$L$24),K43+(L43-K43)/($L$24-$K$24)*($H$15-$K$24),IF(AND($H$15&gt;=$L$24,$H$15&lt;=$M$24),L43+(M43-L43)/($M$24-$L$24)*($H$15-$L$24),IF(AND($H$15&gt;=$M$24,$H$15&lt;=$N$24),M43+(N43-M43)/($N$24-$M$24)*($H$15-$M$24),IF(AND($H$15&gt;=$N$24,$H$15&lt;=$O$24),N43+(O43-N43)/($O$24-$N$24)*($H$15-$N$24),IF(AND($H$15&gt;=$O$24,$H$15&lt;=$P$24),O43+(P43-O43)/($P$24-$O$24)*($H$15-$O$24),IF($H$15&gt;$P$24,P43,0))))))))</f>
        <v>31.3</v>
      </c>
      <c r="K43" s="1123">
        <v>45</v>
      </c>
      <c r="L43" s="1123">
        <v>40.6</v>
      </c>
      <c r="M43" s="1123">
        <v>37.1</v>
      </c>
      <c r="N43" s="1123">
        <v>28.7</v>
      </c>
      <c r="O43" s="1123">
        <v>25.5</v>
      </c>
      <c r="P43" s="1124">
        <f t="shared" ref="P43:P45" si="10">O43*Q43</f>
        <v>21.675000000000001</v>
      </c>
      <c r="Q43" s="1127">
        <v>0.85</v>
      </c>
    </row>
    <row r="44" spans="1:17" x14ac:dyDescent="0.25">
      <c r="A44" s="1121">
        <v>25</v>
      </c>
      <c r="B44" s="1111">
        <v>0.8</v>
      </c>
      <c r="C44" s="1111">
        <f t="shared" si="8"/>
        <v>0.15789473684210525</v>
      </c>
      <c r="D44" s="1147">
        <f>IF(AND('2-Dati generali-Cond. utilizzo'!$C$42=2,'2-Dati generali-Cond. utilizzo'!$C$42=3),IF($B$15&gt;=$H$24,H44,IF(AND($B$15&gt;=$G$24,$B$15&lt;$H$24),H44+(G44-H44)/($G$24-$H$24)*($B$15-$H$24),IF(AND($B$15&gt;=$F$24,$B$15&lt;$G$24),G44+(F44-G44)/($F$24-$G$24)*($B$15-$G$24),IF(AND($B$15&gt;=$E$24,$B$15&lt;$F$24),F44+(E44-F44)/($E$24-$F$24)*($B$15-$F$24),IF($B$15&lt;$E$24,E44,0)))))/'1-Ore funzionamento'!$AI$7,IF($B$15&gt;=$H$24,H44,IF(AND($B$15&gt;=$G$24,$B$15&lt;$H$24),H44+(G44-H44)/($G$24-$H$24)*($B$15-$H$24),IF(AND($B$15&gt;=$F$24,$B$15&lt;$G$24),G44+(F44-G44)/($F$24-$G$24)*($B$15-$G$24),IF(AND($B$15&gt;=$E$24,$B$15&lt;$F$24),F44+(E44-F44)/($E$24-$F$24)*($B$15-$F$24),IF($B$15&lt;$E$24,E44,0))))))</f>
        <v>31.8</v>
      </c>
      <c r="E44" s="1123">
        <v>31.8</v>
      </c>
      <c r="F44" s="1123">
        <v>34</v>
      </c>
      <c r="G44" s="1123">
        <v>36.1</v>
      </c>
      <c r="H44" s="1124">
        <f t="shared" si="9"/>
        <v>32.49</v>
      </c>
      <c r="I44" s="1126">
        <v>0.9</v>
      </c>
      <c r="J44" s="1122">
        <f>IF(AND('2-Dati generali-Cond. utilizzo'!$C$42=2,'2-Dati generali-Cond. utilizzo'!$C$42=3),IF($H$15&lt;=$K$24,K44,IF(AND($H$15&gt;=$K$24,$H$15&lt;=$L$24),K44+(L44-K44)/($L$24-$K$24)*($H$15-$K$24),IF(AND($H$15&gt;=$L$24,$H$15&lt;=$M$24),L44+(M44-L44)/($M$24-$L$24)*($H$15-$L$24),IF(AND($H$15&gt;=$M$24,$H$15&lt;=$N$24),M44+(N44-M44)/($N$24-$M$24)*($H$15-$M$24),IF(AND($H$15&gt;=$N$24,$H$15&lt;=$O$24),N44+(O44-N44)/($O$24-$N$24)*($H$15-$N$24),IF(AND($H$15&gt;=$O$24,$H$15&lt;=$P$24),O44+(P44-O44)/($P$24-$O$24)*($H$15-$O$24),IF($H$15&gt;$P$24,P44,0)))))))/'1-Ore funzionamento'!$AI$7,IF($H$15&lt;=$K$24,K44,IF(AND($H$15&gt;=$K$24,$H$15&lt;=$L$24),K44+(L44-K44)/($L$24-$K$24)*($H$15-$K$24),IF(AND($H$15&gt;=$L$24,$H$15&lt;=$M$24),L44+(M44-L44)/($M$24-$L$24)*($H$15-$L$24),IF(AND($H$15&gt;=$M$24,$H$15&lt;=$N$24),M44+(N44-M44)/($N$24-$M$24)*($H$15-$M$24),IF(AND($H$15&gt;=$N$24,$H$15&lt;=$O$24),N44+(O44-N44)/($O$24-$N$24)*($H$15-$N$24),IF(AND($H$15&gt;=$O$24,$H$15&lt;=$P$24),O44+(P44-O44)/($P$24-$O$24)*($H$15-$O$24),IF($H$15&gt;$P$24,P44,0))))))))</f>
        <v>43.066666666666663</v>
      </c>
      <c r="K44" s="1123">
        <v>50.4</v>
      </c>
      <c r="L44" s="1123">
        <v>50.6</v>
      </c>
      <c r="M44" s="1123">
        <v>50.8</v>
      </c>
      <c r="N44" s="1123">
        <v>39.6</v>
      </c>
      <c r="O44" s="1123">
        <v>34.9</v>
      </c>
      <c r="P44" s="1124">
        <f t="shared" si="10"/>
        <v>29.664999999999999</v>
      </c>
      <c r="Q44" s="1127">
        <v>0.85</v>
      </c>
    </row>
    <row r="45" spans="1:17" ht="16.5" thickBot="1" x14ac:dyDescent="0.3">
      <c r="A45" s="1128">
        <v>30</v>
      </c>
      <c r="B45" s="1116">
        <v>0.8</v>
      </c>
      <c r="C45" s="1111">
        <f t="shared" si="8"/>
        <v>0.15789473684210525</v>
      </c>
      <c r="D45" s="1147">
        <f>IF(AND('2-Dati generali-Cond. utilizzo'!$C$42=2,'2-Dati generali-Cond. utilizzo'!$C$42=3),IF($B$15&gt;=$H$24,H45,IF(AND($B$15&gt;=$G$24,$B$15&lt;$H$24),H45+(G45-H45)/($G$24-$H$24)*($B$15-$H$24),IF(AND($B$15&gt;=$F$24,$B$15&lt;$G$24),G45+(F45-G45)/($F$24-$G$24)*($B$15-$G$24),IF(AND($B$15&gt;=$E$24,$B$15&lt;$F$24),F45+(E45-F45)/($E$24-$F$24)*($B$15-$F$24),IF($B$15&lt;$E$24,E45,0)))))/'1-Ore funzionamento'!$AI$7,IF($B$15&gt;=$H$24,H45,IF(AND($B$15&gt;=$G$24,$B$15&lt;$H$24),H45+(G45-H45)/($G$24-$H$24)*($B$15-$H$24),IF(AND($B$15&gt;=$F$24,$B$15&lt;$G$24),G45+(F45-G45)/($F$24-$G$24)*($B$15-$G$24),IF(AND($B$15&gt;=$E$24,$B$15&lt;$F$24),F45+(E45-F45)/($E$24-$F$24)*($B$15-$F$24),IF($B$15&lt;$E$24,E45,0))))))</f>
        <v>43.3</v>
      </c>
      <c r="E45" s="1130">
        <v>43.3</v>
      </c>
      <c r="F45" s="1130">
        <v>46.7</v>
      </c>
      <c r="G45" s="1130">
        <v>50.1</v>
      </c>
      <c r="H45" s="1124">
        <f t="shared" si="9"/>
        <v>45.09</v>
      </c>
      <c r="I45" s="1126">
        <v>0.9</v>
      </c>
      <c r="J45" s="1129">
        <f>IF(AND('2-Dati generali-Cond. utilizzo'!$C$42=2,'2-Dati generali-Cond. utilizzo'!$C$42=3),IF($H$15&lt;=$K$24,K45,IF(AND($H$15&gt;=$K$24,$H$15&lt;=$L$24),K45+(L45-K45)/($L$24-$K$24)*($H$15-$K$24),IF(AND($H$15&gt;=$L$24,$H$15&lt;=$M$24),L45+(M45-L45)/($M$24-$L$24)*($H$15-$L$24),IF(AND($H$15&gt;=$M$24,$H$15&lt;=$N$24),M45+(N45-M45)/($N$24-$M$24)*($H$15-$M$24),IF(AND($H$15&gt;=$N$24,$H$15&lt;=$O$24),N45+(O45-N45)/($O$24-$N$24)*($H$15-$N$24),IF(AND($H$15&gt;=$O$24,$H$15&lt;=$P$24),O45+(P45-O45)/($P$24-$O$24)*($H$15-$O$24),IF($H$15&gt;$P$24,P45,0)))))))/'1-Ore funzionamento'!$AI$7,IF($H$15&lt;=$K$24,K45,IF(AND($H$15&gt;=$K$24,$H$15&lt;=$L$24),K45+(L45-K45)/($L$24-$K$24)*($H$15-$K$24),IF(AND($H$15&gt;=$L$24,$H$15&lt;=$M$24),L45+(M45-L45)/($M$24-$L$24)*($H$15-$L$24),IF(AND($H$15&gt;=$M$24,$H$15&lt;=$N$24),M45+(N45-M45)/($N$24-$M$24)*($H$15-$M$24),IF(AND($H$15&gt;=$N$24,$H$15&lt;=$O$24),N45+(O45-N45)/($O$24-$N$24)*($H$15-$N$24),IF(AND($H$15&gt;=$O$24,$H$15&lt;=$P$24),O45+(P45-O45)/($P$24-$O$24)*($H$15-$O$24),IF($H$15&gt;$P$24,P45,0))))))))</f>
        <v>51.626190476190473</v>
      </c>
      <c r="K45" s="1130">
        <v>61.1</v>
      </c>
      <c r="L45" s="1130">
        <v>58.1</v>
      </c>
      <c r="M45" s="1130">
        <v>55.7</v>
      </c>
      <c r="N45" s="1130">
        <v>49.8</v>
      </c>
      <c r="O45" s="1130">
        <v>45.1</v>
      </c>
      <c r="P45" s="1131">
        <f t="shared" si="10"/>
        <v>38.335000000000001</v>
      </c>
      <c r="Q45" s="1125">
        <v>0.85</v>
      </c>
    </row>
    <row r="46" spans="1:17" x14ac:dyDescent="0.25">
      <c r="A46" s="1118">
        <v>8</v>
      </c>
      <c r="B46" s="1119">
        <v>0.7</v>
      </c>
      <c r="C46" s="1119">
        <f>'1-Ore funzionamento'!AF10</f>
        <v>0.2</v>
      </c>
      <c r="D46" s="1147">
        <f>IF(AND('2-Dati generali-Cond. utilizzo'!$C$42=2,'2-Dati generali-Cond. utilizzo'!$C$42=3),IF($B$16&gt;=$H$24,H46,IF(AND($B$16&gt;=$G$24,$B$16&lt;$H$24),H46+(G46-H46)/($G$24-$H$24)*($B$16-$H$24),IF(AND($B$16&gt;=$F$24,$B$16&lt;$G$24),G46+(F46-G46)/($F$24-$G$24)*($B$16-$G$24),IF(AND($B$16&gt;=$E$24,$B$16&lt;$F$24),F46+(E46-F46)/($E$24-$F$24)*($B$16-$F$24),IF($B$16&lt;$E$24,E46,0)))))/'1-Ore funzionamento'!$AI$7,IF($B$16&gt;=$H$24,H46,IF(AND($B$16&gt;=$G$24,$B$16&lt;$H$24),H46+(G46-H46)/($G$24-$H$24)*($B$16-$H$24),IF(AND($B$16&gt;=$F$24,$B$16&lt;$G$24),G46+(F46-G46)/($F$24-$G$24)*($B$16-$G$24),IF(AND($B$16&gt;=$E$24,$B$16&lt;$F$24),F46+(E46-F46)/($E$24-$F$24)*($B$16-$F$24),IF($B$16&lt;$E$24,E46,0))))))</f>
        <v>8.3000000000000007</v>
      </c>
      <c r="E46" s="1028">
        <v>8.3000000000000007</v>
      </c>
      <c r="F46" s="1028">
        <v>9.1999999999999993</v>
      </c>
      <c r="G46" s="1028">
        <v>10</v>
      </c>
      <c r="H46" s="1029">
        <v>10.9</v>
      </c>
      <c r="J46" s="1120">
        <f>IF(AND('2-Dati generali-Cond. utilizzo'!$C$42=2,'2-Dati generali-Cond. utilizzo'!$C$42=3),IF($H$16&lt;=$K$24,K46,IF(AND($H$16&gt;=$K$24,$H$16&lt;=$L$24),K46+(L46-K46)/($L$24-$K$24)*($H$16-$K$24),IF(AND($H$16&gt;=$L$24,$H$16&lt;=$M$24),L46+(M46-L46)/($M$24-$L$24)*($H$16-$L$24),IF(AND($H$16&gt;=$M$24,$H$16&lt;=$N$24),M46+(N46-M46)/($N$24-$M$24)*($H$16-$M$24),IF(AND($H$16&gt;=$N$24,$H$16&lt;=$O$24),N46+(O46-N46)/($O$24-$N$24)*($H$16-$N$24),IF(AND($H$16&gt;=$O$24,$H$16&lt;=$P$24),O46+(P46-O46)/($P$24-$O$24)*($H$16-$O$24),IF($H$16&gt;$P$24,P46,0)))))))/'1-Ore funzionamento'!$AI$7,IF($H$16&lt;=$K$24,K46,IF(AND($H$16&gt;=$K$24,$H$16&lt;=$L$24),K46+(L46-K46)/($L$24-$K$24)*($H$16-$K$24),IF(AND($H$16&gt;=$L$24,$H$16&lt;=$M$24),L46+(M46-L46)/($M$24-$L$24)*($H$16-$L$24),IF(AND($H$16&gt;=$M$24,$H$16&lt;=$N$24),M46+(N46-M46)/($N$24-$M$24)*($H$16-$M$24),IF(AND($H$16&gt;=$N$24,$H$16&lt;=$O$24),N46+(O46-N46)/($O$24-$N$24)*($H$16-$N$24),IF(AND($H$16&gt;=$O$24,$H$16&lt;=$P$24),O46+(P46-O46)/($P$24-$O$24)*($H$16-$O$24),IF($H$16&gt;$P$24,P46,0))))))))</f>
        <v>11.05</v>
      </c>
      <c r="K46" s="1028">
        <v>19.899999999999999</v>
      </c>
      <c r="L46" s="1028">
        <v>18.05</v>
      </c>
      <c r="M46" s="1028">
        <v>15.42</v>
      </c>
      <c r="N46" s="1028">
        <v>11.3</v>
      </c>
      <c r="O46" s="1028">
        <v>9.9</v>
      </c>
      <c r="P46" s="1029">
        <v>9.6</v>
      </c>
      <c r="Q46" s="1090"/>
    </row>
    <row r="47" spans="1:17" x14ac:dyDescent="0.25">
      <c r="A47" s="1121">
        <v>10</v>
      </c>
      <c r="B47" s="1111">
        <v>0.7</v>
      </c>
      <c r="C47" s="1111">
        <f t="shared" ref="C47:C52" si="11">$C$46</f>
        <v>0.2</v>
      </c>
      <c r="D47" s="1147">
        <f>IF(AND('2-Dati generali-Cond. utilizzo'!$C$42=2,'2-Dati generali-Cond. utilizzo'!$C$42=3),IF($B$16&gt;=$H$24,H47,IF(AND($B$16&gt;=$G$24,$B$16&lt;$H$24),H47+(G47-H47)/($G$24-$H$24)*($B$16-$H$24),IF(AND($B$16&gt;=$F$24,$B$16&lt;$G$24),G47+(F47-G47)/($F$24-$G$24)*($B$16-$G$24),IF(AND($B$16&gt;=$E$24,$B$16&lt;$F$24),F47+(E47-F47)/($E$24-$F$24)*($B$16-$F$24),IF($B$16&lt;$E$24,E47,0)))))/'1-Ore funzionamento'!$AI$7,IF($B$16&gt;=$H$24,H47,IF(AND($B$16&gt;=$G$24,$B$16&lt;$H$24),H47+(G47-H47)/($G$24-$H$24)*($B$16-$H$24),IF(AND($B$16&gt;=$F$24,$B$16&lt;$G$24),G47+(F47-G47)/($F$24-$G$24)*($B$16-$G$24),IF(AND($B$16&gt;=$E$24,$B$16&lt;$F$24),F47+(E47-F47)/($E$24-$F$24)*($B$16-$F$24),IF($B$16&lt;$E$24,E47,0))))))</f>
        <v>9.4</v>
      </c>
      <c r="E47" s="1031">
        <v>9.4</v>
      </c>
      <c r="F47" s="1031">
        <v>10.3</v>
      </c>
      <c r="G47" s="1031">
        <v>11.3</v>
      </c>
      <c r="H47" s="1032">
        <v>12.4</v>
      </c>
      <c r="J47" s="1122">
        <f>IF(AND('2-Dati generali-Cond. utilizzo'!$C$42=2,'2-Dati generali-Cond. utilizzo'!$C$42=3),IF($H$16&lt;=$K$24,K47,IF(AND($H$16&gt;=$K$24,$H$16&lt;=$L$24),K47+(L47-K47)/($L$24-$K$24)*($H$16-$K$24),IF(AND($H$16&gt;=$L$24,$H$16&lt;=$M$24),L47+(M47-L47)/($M$24-$L$24)*($H$16-$L$24),IF(AND($H$16&gt;=$M$24,$H$16&lt;=$N$24),M47+(N47-M47)/($N$24-$M$24)*($H$16-$M$24),IF(AND($H$16&gt;=$N$24,$H$16&lt;=$O$24),N47+(O47-N47)/($O$24-$N$24)*($H$16-$N$24),IF(AND($H$16&gt;=$O$24,$H$16&lt;=$P$24),O47+(P47-O47)/($P$24-$O$24)*($H$16-$O$24),IF($H$16&gt;$P$24,P47,0)))))))/'1-Ore funzionamento'!$AI$7,IF($H$16&lt;=$K$24,K47,IF(AND($H$16&gt;=$K$24,$H$16&lt;=$L$24),K47+(L47-K47)/($L$24-$K$24)*($H$16-$K$24),IF(AND($H$16&gt;=$L$24,$H$16&lt;=$M$24),L47+(M47-L47)/($M$24-$L$24)*($H$16-$L$24),IF(AND($H$16&gt;=$M$24,$H$16&lt;=$N$24),M47+(N47-M47)/($N$24-$M$24)*($H$16-$M$24),IF(AND($H$16&gt;=$N$24,$H$16&lt;=$O$24),N47+(O47-N47)/($O$24-$N$24)*($H$16-$N$24),IF(AND($H$16&gt;=$O$24,$H$16&lt;=$P$24),O47+(P47-O47)/($P$24-$O$24)*($H$16-$O$24),IF($H$16&gt;$P$24,P47,0))))))))</f>
        <v>13.707142857142856</v>
      </c>
      <c r="K47" s="1031">
        <v>25.91</v>
      </c>
      <c r="L47" s="1031">
        <v>22.02</v>
      </c>
      <c r="M47" s="1031">
        <v>19.100000000000001</v>
      </c>
      <c r="N47" s="1031">
        <v>14.1</v>
      </c>
      <c r="O47" s="1031">
        <v>11.9</v>
      </c>
      <c r="P47" s="1032">
        <v>10.199999999999999</v>
      </c>
      <c r="Q47" s="1090"/>
    </row>
    <row r="48" spans="1:17" x14ac:dyDescent="0.25">
      <c r="A48" s="1121">
        <v>13</v>
      </c>
      <c r="B48" s="1111">
        <v>0.7</v>
      </c>
      <c r="C48" s="1111">
        <f t="shared" si="11"/>
        <v>0.2</v>
      </c>
      <c r="D48" s="1147">
        <f>IF(AND('2-Dati generali-Cond. utilizzo'!$C$42=2,'2-Dati generali-Cond. utilizzo'!$C$42=3),IF($B$16&gt;=$H$24,H48,IF(AND($B$16&gt;=$G$24,$B$16&lt;$H$24),H48+(G48-H48)/($G$24-$H$24)*($B$16-$H$24),IF(AND($B$16&gt;=$F$24,$B$16&lt;$G$24),G48+(F48-G48)/($F$24-$G$24)*($B$16-$G$24),IF(AND($B$16&gt;=$E$24,$B$16&lt;$F$24),F48+(E48-F48)/($E$24-$F$24)*($B$16-$F$24),IF($B$16&lt;$E$24,E48,0)))))/'1-Ore funzionamento'!$AI$7,IF($B$16&gt;=$H$24,H48,IF(AND($B$16&gt;=$G$24,$B$16&lt;$H$24),H48+(G48-H48)/($G$24-$H$24)*($B$16-$H$24),IF(AND($B$16&gt;=$F$24,$B$16&lt;$G$24),G48+(F48-G48)/($F$24-$G$24)*($B$16-$G$24),IF(AND($B$16&gt;=$E$24,$B$16&lt;$F$24),F48+(E48-F48)/($E$24-$F$24)*($B$16-$F$24),IF($B$16&lt;$E$24,E48,0))))))</f>
        <v>12.8</v>
      </c>
      <c r="E48" s="1123">
        <v>12.8</v>
      </c>
      <c r="F48" s="1123">
        <v>14</v>
      </c>
      <c r="G48" s="1123">
        <v>15.3</v>
      </c>
      <c r="H48" s="1124">
        <v>16.7</v>
      </c>
      <c r="J48" s="1122">
        <f>IF(AND('2-Dati generali-Cond. utilizzo'!$C$42=2,'2-Dati generali-Cond. utilizzo'!$C$42=3),IF($H$16&lt;=$K$24,K48,IF(AND($H$16&gt;=$K$24,$H$16&lt;=$L$24),K48+(L48-K48)/($L$24-$K$24)*($H$16-$K$24),IF(AND($H$16&gt;=$L$24,$H$16&lt;=$M$24),L48+(M48-L48)/($M$24-$L$24)*($H$16-$L$24),IF(AND($H$16&gt;=$M$24,$H$16&lt;=$N$24),M48+(N48-M48)/($N$24-$M$24)*($H$16-$M$24),IF(AND($H$16&gt;=$N$24,$H$16&lt;=$O$24),N48+(O48-N48)/($O$24-$N$24)*($H$16-$N$24),IF(AND($H$16&gt;=$O$24,$H$16&lt;=$P$24),O48+(P48-O48)/($P$24-$O$24)*($H$16-$O$24),IF($H$16&gt;$P$24,P48,0)))))))/'1-Ore funzionamento'!$AI$7,IF($H$16&lt;=$K$24,K48,IF(AND($H$16&gt;=$K$24,$H$16&lt;=$L$24),K48+(L48-K48)/($L$24-$K$24)*($H$16-$K$24),IF(AND($H$16&gt;=$L$24,$H$16&lt;=$M$24),L48+(M48-L48)/($M$24-$L$24)*($H$16-$L$24),IF(AND($H$16&gt;=$M$24,$H$16&lt;=$N$24),M48+(N48-M48)/($N$24-$M$24)*($H$16-$M$24),IF(AND($H$16&gt;=$N$24,$H$16&lt;=$O$24),N48+(O48-N48)/($O$24-$N$24)*($H$16-$N$24),IF(AND($H$16&gt;=$O$24,$H$16&lt;=$P$24),O48+(P48-O48)/($P$24-$O$24)*($H$16-$O$24),IF($H$16&gt;$P$24,P48,0))))))))</f>
        <v>15.817857142857143</v>
      </c>
      <c r="K48" s="1123">
        <v>21.13</v>
      </c>
      <c r="L48" s="1123">
        <v>21.79</v>
      </c>
      <c r="M48" s="1123">
        <v>22.1</v>
      </c>
      <c r="N48" s="1123">
        <v>16.3</v>
      </c>
      <c r="O48" s="1123">
        <v>13.6</v>
      </c>
      <c r="P48" s="1124">
        <v>11.7</v>
      </c>
      <c r="Q48" s="1090"/>
    </row>
    <row r="49" spans="1:17" x14ac:dyDescent="0.25">
      <c r="A49" s="1121">
        <v>16</v>
      </c>
      <c r="B49" s="1111">
        <v>0.7</v>
      </c>
      <c r="C49" s="1111">
        <f t="shared" si="11"/>
        <v>0.2</v>
      </c>
      <c r="D49" s="1147">
        <f>IF(AND('2-Dati generali-Cond. utilizzo'!$C$42=2,'2-Dati generali-Cond. utilizzo'!$C$42=3),IF($B$16&gt;=$H$24,H49,IF(AND($B$16&gt;=$G$24,$B$16&lt;$H$24),H49+(G49-H49)/($G$24-$H$24)*($B$16-$H$24),IF(AND($B$16&gt;=$F$24,$B$16&lt;$G$24),G49+(F49-G49)/($F$24-$G$24)*($B$16-$G$24),IF(AND($B$16&gt;=$E$24,$B$16&lt;$F$24),F49+(E49-F49)/($E$24-$F$24)*($B$16-$F$24),IF($B$16&lt;$E$24,E49,0)))))/'1-Ore funzionamento'!$AI$7,IF($B$16&gt;=$H$24,H49,IF(AND($B$16&gt;=$G$24,$B$16&lt;$H$24),H49+(G49-H49)/($G$24-$H$24)*($B$16-$H$24),IF(AND($B$16&gt;=$F$24,$B$16&lt;$G$24),G49+(F49-G49)/($F$24-$G$24)*($B$16-$G$24),IF(AND($B$16&gt;=$E$24,$B$16&lt;$F$24),F49+(E49-F49)/($E$24-$F$24)*($B$16-$F$24),IF($B$16&lt;$E$24,E49,0))))))</f>
        <v>14.4</v>
      </c>
      <c r="E49" s="1123">
        <v>14.4</v>
      </c>
      <c r="F49" s="1123">
        <v>15.6</v>
      </c>
      <c r="G49" s="1123">
        <v>16.8</v>
      </c>
      <c r="H49" s="1124">
        <f>G49*I49</f>
        <v>15.120000000000001</v>
      </c>
      <c r="I49" s="1125">
        <v>0.9</v>
      </c>
      <c r="J49" s="1122">
        <f>IF(AND('2-Dati generali-Cond. utilizzo'!$C$42=2,'2-Dati generali-Cond. utilizzo'!$C$42=3),IF($H$16&lt;=$K$24,K49,IF(AND($H$16&gt;=$K$24,$H$16&lt;=$L$24),K49+(L49-K49)/($L$24-$K$24)*($H$16-$K$24),IF(AND($H$16&gt;=$L$24,$H$16&lt;=$M$24),L49+(M49-L49)/($M$24-$L$24)*($H$16-$L$24),IF(AND($H$16&gt;=$M$24,$H$16&lt;=$N$24),M49+(N49-M49)/($N$24-$M$24)*($H$16-$M$24),IF(AND($H$16&gt;=$N$24,$H$16&lt;=$O$24),N49+(O49-N49)/($O$24-$N$24)*($H$16-$N$24),IF(AND($H$16&gt;=$O$24,$H$16&lt;=$P$24),O49+(P49-O49)/($P$24-$O$24)*($H$16-$O$24),IF($H$16&gt;$P$24,P49,0)))))))/'1-Ore funzionamento'!$AI$7,IF($H$16&lt;=$K$24,K49,IF(AND($H$16&gt;=$K$24,$H$16&lt;=$L$24),K49+(L49-K49)/($L$24-$K$24)*($H$16-$K$24),IF(AND($H$16&gt;=$L$24,$H$16&lt;=$M$24),L49+(M49-L49)/($M$24-$L$24)*($H$16-$L$24),IF(AND($H$16&gt;=$M$24,$H$16&lt;=$N$24),M49+(N49-M49)/($N$24-$M$24)*($H$16-$M$24),IF(AND($H$16&gt;=$N$24,$H$16&lt;=$O$24),N49+(O49-N49)/($O$24-$N$24)*($H$16-$N$24),IF(AND($H$16&gt;=$O$24,$H$16&lt;=$P$24),O49+(P49-O49)/($P$24-$O$24)*($H$16-$O$24),IF($H$16&gt;$P$24,P49,0))))))))</f>
        <v>18.853571428571428</v>
      </c>
      <c r="K49" s="1123">
        <v>27.9</v>
      </c>
      <c r="L49" s="1123">
        <v>24.5</v>
      </c>
      <c r="M49" s="1123">
        <v>21.8</v>
      </c>
      <c r="N49" s="1123">
        <v>19.3</v>
      </c>
      <c r="O49" s="1123">
        <v>16.8</v>
      </c>
      <c r="P49" s="1124">
        <f>O49*Q49</f>
        <v>14.28</v>
      </c>
      <c r="Q49" s="1125">
        <v>0.85</v>
      </c>
    </row>
    <row r="50" spans="1:17" x14ac:dyDescent="0.25">
      <c r="A50" s="1121">
        <v>20</v>
      </c>
      <c r="B50" s="1111">
        <v>0.7</v>
      </c>
      <c r="C50" s="1111">
        <f t="shared" si="11"/>
        <v>0.2</v>
      </c>
      <c r="D50" s="1147">
        <f>IF(AND('2-Dati generali-Cond. utilizzo'!$C$42=2,'2-Dati generali-Cond. utilizzo'!$C$42=3),IF($B$16&gt;=$H$24,H50,IF(AND($B$16&gt;=$G$24,$B$16&lt;$H$24),H50+(G50-H50)/($G$24-$H$24)*($B$16-$H$24),IF(AND($B$16&gt;=$F$24,$B$16&lt;$G$24),G50+(F50-G50)/($F$24-$G$24)*($B$16-$G$24),IF(AND($B$16&gt;=$E$24,$B$16&lt;$F$24),F50+(E50-F50)/($E$24-$F$24)*($B$16-$F$24),IF($B$16&lt;$E$24,E50,0)))))/'1-Ore funzionamento'!$AI$7,IF($B$16&gt;=$H$24,H50,IF(AND($B$16&gt;=$G$24,$B$16&lt;$H$24),H50+(G50-H50)/($G$24-$H$24)*($B$16-$H$24),IF(AND($B$16&gt;=$F$24,$B$16&lt;$G$24),G50+(F50-G50)/($F$24-$G$24)*($B$16-$G$24),IF(AND($B$16&gt;=$E$24,$B$16&lt;$F$24),F50+(E50-F50)/($E$24-$F$24)*($B$16-$F$24),IF($B$16&lt;$E$24,E50,0))))))</f>
        <v>19</v>
      </c>
      <c r="E50" s="1123">
        <v>19</v>
      </c>
      <c r="F50" s="1123">
        <v>20.7</v>
      </c>
      <c r="G50" s="1123">
        <v>22.4</v>
      </c>
      <c r="H50" s="1124">
        <f t="shared" ref="H50:H52" si="12">G50*I50</f>
        <v>20.16</v>
      </c>
      <c r="I50" s="1126">
        <v>0.9</v>
      </c>
      <c r="J50" s="1122">
        <f>IF(AND('2-Dati generali-Cond. utilizzo'!$C$42=2,'2-Dati generali-Cond. utilizzo'!$C$42=3),IF($H$16&lt;=$K$24,K50,IF(AND($H$16&gt;=$K$24,$H$16&lt;=$L$24),K50+(L50-K50)/($L$24-$K$24)*($H$16-$K$24),IF(AND($H$16&gt;=$L$24,$H$16&lt;=$M$24),L50+(M50-L50)/($M$24-$L$24)*($H$16-$L$24),IF(AND($H$16&gt;=$M$24,$H$16&lt;=$N$24),M50+(N50-M50)/($N$24-$M$24)*($H$16-$M$24),IF(AND($H$16&gt;=$N$24,$H$16&lt;=$O$24),N50+(O50-N50)/($O$24-$N$24)*($H$16-$N$24),IF(AND($H$16&gt;=$O$24,$H$16&lt;=$P$24),O50+(P50-O50)/($P$24-$O$24)*($H$16-$O$24),IF($H$16&gt;$P$24,P50,0)))))))/'1-Ore funzionamento'!$AI$7,IF($H$16&lt;=$K$24,K50,IF(AND($H$16&gt;=$K$24,$H$16&lt;=$L$24),K50+(L50-K50)/($L$24-$K$24)*($H$16-$K$24),IF(AND($H$16&gt;=$L$24,$H$16&lt;=$M$24),L50+(M50-L50)/($M$24-$L$24)*($H$16-$L$24),IF(AND($H$16&gt;=$M$24,$H$16&lt;=$N$24),M50+(N50-M50)/($N$24-$M$24)*($H$16-$M$24),IF(AND($H$16&gt;=$N$24,$H$16&lt;=$O$24),N50+(O50-N50)/($O$24-$N$24)*($H$16-$N$24),IF(AND($H$16&gt;=$O$24,$H$16&lt;=$P$24),O50+(P50-O50)/($P$24-$O$24)*($H$16-$O$24),IF($H$16&gt;$P$24,P50,0))))))))</f>
        <v>23.517857142857142</v>
      </c>
      <c r="K50" s="1123">
        <v>35.9</v>
      </c>
      <c r="L50" s="1123">
        <v>31.1</v>
      </c>
      <c r="M50" s="1123">
        <v>27.2</v>
      </c>
      <c r="N50" s="1123">
        <v>24</v>
      </c>
      <c r="O50" s="1123">
        <v>21.3</v>
      </c>
      <c r="P50" s="1124">
        <f t="shared" ref="P50:P52" si="13">O50*Q50</f>
        <v>18.105</v>
      </c>
      <c r="Q50" s="1127">
        <v>0.85</v>
      </c>
    </row>
    <row r="51" spans="1:17" x14ac:dyDescent="0.25">
      <c r="A51" s="1121">
        <v>25</v>
      </c>
      <c r="B51" s="1111">
        <v>0.7</v>
      </c>
      <c r="C51" s="1111">
        <f t="shared" si="11"/>
        <v>0.2</v>
      </c>
      <c r="D51" s="1147">
        <f>IF(AND('2-Dati generali-Cond. utilizzo'!$C$42=2,'2-Dati generali-Cond. utilizzo'!$C$42=3),IF($B$16&gt;=$H$24,H51,IF(AND($B$16&gt;=$G$24,$B$16&lt;$H$24),H51+(G51-H51)/($G$24-$H$24)*($B$16-$H$24),IF(AND($B$16&gt;=$F$24,$B$16&lt;$G$24),G51+(F51-G51)/($F$24-$G$24)*($B$16-$G$24),IF(AND($B$16&gt;=$E$24,$B$16&lt;$F$24),F51+(E51-F51)/($E$24-$F$24)*($B$16-$F$24),IF($B$16&lt;$E$24,E51,0)))))/'1-Ore funzionamento'!$AI$7,IF($B$16&gt;=$H$24,H51,IF(AND($B$16&gt;=$G$24,$B$16&lt;$H$24),H51+(G51-H51)/($G$24-$H$24)*($B$16-$H$24),IF(AND($B$16&gt;=$F$24,$B$16&lt;$G$24),G51+(F51-G51)/($F$24-$G$24)*($B$16-$G$24),IF(AND($B$16&gt;=$E$24,$B$16&lt;$F$24),F51+(E51-F51)/($E$24-$F$24)*($B$16-$F$24),IF($B$16&lt;$E$24,E51,0))))))</f>
        <v>23.2</v>
      </c>
      <c r="E51" s="1123">
        <v>23.2</v>
      </c>
      <c r="F51" s="1123">
        <v>25.1</v>
      </c>
      <c r="G51" s="1123">
        <v>27</v>
      </c>
      <c r="H51" s="1124">
        <f t="shared" si="12"/>
        <v>24.3</v>
      </c>
      <c r="I51" s="1126">
        <v>0.9</v>
      </c>
      <c r="J51" s="1122">
        <f>IF(AND('2-Dati generali-Cond. utilizzo'!$C$42=2,'2-Dati generali-Cond. utilizzo'!$C$42=3),IF($H$16&lt;=$K$24,K51,IF(AND($H$16&gt;=$K$24,$H$16&lt;=$L$24),K51+(L51-K51)/($L$24-$K$24)*($H$16-$K$24),IF(AND($H$16&gt;=$L$24,$H$16&lt;=$M$24),L51+(M51-L51)/($M$24-$L$24)*($H$16-$L$24),IF(AND($H$16&gt;=$M$24,$H$16&lt;=$N$24),M51+(N51-M51)/($N$24-$M$24)*($H$16-$M$24),IF(AND($H$16&gt;=$N$24,$H$16&lt;=$O$24),N51+(O51-N51)/($O$24-$N$24)*($H$16-$N$24),IF(AND($H$16&gt;=$O$24,$H$16&lt;=$P$24),O51+(P51-O51)/($P$24-$O$24)*($H$16-$O$24),IF($H$16&gt;$P$24,P51,0)))))))/'1-Ore funzionamento'!$AI$7,IF($H$16&lt;=$K$24,K51,IF(AND($H$16&gt;=$K$24,$H$16&lt;=$L$24),K51+(L51-K51)/($L$24-$K$24)*($H$16-$K$24),IF(AND($H$16&gt;=$L$24,$H$16&lt;=$M$24),L51+(M51-L51)/($M$24-$L$24)*($H$16-$L$24),IF(AND($H$16&gt;=$M$24,$H$16&lt;=$N$24),M51+(N51-M51)/($N$24-$M$24)*($H$16-$M$24),IF(AND($H$16&gt;=$N$24,$H$16&lt;=$O$24),N51+(O51-N51)/($O$24-$N$24)*($H$16-$N$24),IF(AND($H$16&gt;=$O$24,$H$16&lt;=$P$24),O51+(P51-O51)/($P$24-$O$24)*($H$16-$O$24),IF($H$16&gt;$P$24,P51,0))))))))</f>
        <v>31.821428571428569</v>
      </c>
      <c r="K51" s="1123">
        <v>37.700000000000003</v>
      </c>
      <c r="L51" s="1123">
        <v>37</v>
      </c>
      <c r="M51" s="1123">
        <v>36.4</v>
      </c>
      <c r="N51" s="1123">
        <v>32.5</v>
      </c>
      <c r="O51" s="1123">
        <v>28.7</v>
      </c>
      <c r="P51" s="1124">
        <f t="shared" si="13"/>
        <v>24.395</v>
      </c>
      <c r="Q51" s="1127">
        <v>0.85</v>
      </c>
    </row>
    <row r="52" spans="1:17" ht="16.5" thickBot="1" x14ac:dyDescent="0.3">
      <c r="A52" s="1128">
        <v>30</v>
      </c>
      <c r="B52" s="1116">
        <v>0.7</v>
      </c>
      <c r="C52" s="1111">
        <f t="shared" si="11"/>
        <v>0.2</v>
      </c>
      <c r="D52" s="1147">
        <f>IF(AND('2-Dati generali-Cond. utilizzo'!$C$42=2,'2-Dati generali-Cond. utilizzo'!$C$42=3),IF($B$16&gt;=$H$24,H52,IF(AND($B$16&gt;=$G$24,$B$16&lt;$H$24),H52+(G52-H52)/($G$24-$H$24)*($B$16-$H$24),IF(AND($B$16&gt;=$F$24,$B$16&lt;$G$24),G52+(F52-G52)/($F$24-$G$24)*($B$16-$G$24),IF(AND($B$16&gt;=$E$24,$B$16&lt;$F$24),F52+(E52-F52)/($E$24-$F$24)*($B$16-$F$24),IF($B$16&lt;$E$24,E52,0)))))/'1-Ore funzionamento'!$AI$7,IF($B$16&gt;=$H$24,H52,IF(AND($B$16&gt;=$G$24,$B$16&lt;$H$24),H52+(G52-H52)/($G$24-$H$24)*($B$16-$H$24),IF(AND($B$16&gt;=$F$24,$B$16&lt;$G$24),G52+(F52-G52)/($F$24-$G$24)*($B$16-$G$24),IF(AND($B$16&gt;=$E$24,$B$16&lt;$F$24),F52+(E52-F52)/($E$24-$F$24)*($B$16-$F$24),IF($B$16&lt;$E$24,E52,0))))))</f>
        <v>33.4</v>
      </c>
      <c r="E52" s="1130">
        <v>33.4</v>
      </c>
      <c r="F52" s="1130">
        <v>36.4</v>
      </c>
      <c r="G52" s="1130">
        <v>39.5</v>
      </c>
      <c r="H52" s="1124">
        <f t="shared" si="12"/>
        <v>35.550000000000004</v>
      </c>
      <c r="I52" s="1126">
        <v>0.9</v>
      </c>
      <c r="J52" s="1129">
        <f>IF(AND('2-Dati generali-Cond. utilizzo'!$C$42=2,'2-Dati generali-Cond. utilizzo'!$C$42=3),IF($H$16&lt;=$K$24,K52,IF(AND($H$16&gt;=$K$24,$H$16&lt;=$L$24),K52+(L52-K52)/($L$24-$K$24)*($H$16-$K$24),IF(AND($H$16&gt;=$L$24,$H$16&lt;=$M$24),L52+(M52-L52)/($M$24-$L$24)*($H$16-$L$24),IF(AND($H$16&gt;=$M$24,$H$16&lt;=$N$24),M52+(N52-M52)/($N$24-$M$24)*($H$16-$M$24),IF(AND($H$16&gt;=$N$24,$H$16&lt;=$O$24),N52+(O52-N52)/($O$24-$N$24)*($H$16-$N$24),IF(AND($H$16&gt;=$O$24,$H$16&lt;=$P$24),O52+(P52-O52)/($P$24-$O$24)*($H$16-$O$24),IF($H$16&gt;$P$24,P52,0)))))))/'1-Ore funzionamento'!$AI$7,IF($H$16&lt;=$K$24,K52,IF(AND($H$16&gt;=$K$24,$H$16&lt;=$L$24),K52+(L52-K52)/($L$24-$K$24)*($H$16-$K$24),IF(AND($H$16&gt;=$L$24,$H$16&lt;=$M$24),L52+(M52-L52)/($M$24-$L$24)*($H$16-$L$24),IF(AND($H$16&gt;=$M$24,$H$16&lt;=$N$24),M52+(N52-M52)/($N$24-$M$24)*($H$16-$M$24),IF(AND($H$16&gt;=$N$24,$H$16&lt;=$O$24),N52+(O52-N52)/($O$24-$N$24)*($H$16-$N$24),IF(AND($H$16&gt;=$O$24,$H$16&lt;=$P$24),O52+(P52-O52)/($P$24-$O$24)*($H$16-$O$24),IF($H$16&gt;$P$24,P52,0))))))))</f>
        <v>39.950000000000003</v>
      </c>
      <c r="K52" s="1130">
        <v>48.9</v>
      </c>
      <c r="L52" s="1130">
        <v>44.1</v>
      </c>
      <c r="M52" s="1130">
        <v>40.200000000000003</v>
      </c>
      <c r="N52" s="1130">
        <v>40.700000000000003</v>
      </c>
      <c r="O52" s="1130">
        <v>36.5</v>
      </c>
      <c r="P52" s="1131">
        <f t="shared" si="13"/>
        <v>31.024999999999999</v>
      </c>
      <c r="Q52" s="1125">
        <v>0.85</v>
      </c>
    </row>
    <row r="53" spans="1:17" x14ac:dyDescent="0.25">
      <c r="A53" s="1118">
        <v>8</v>
      </c>
      <c r="B53" s="1119">
        <v>0.6</v>
      </c>
      <c r="C53" s="1119">
        <f>'1-Ore funzionamento'!AF11</f>
        <v>0.22105263157894736</v>
      </c>
      <c r="D53" s="1147">
        <f>IF(AND('2-Dati generali-Cond. utilizzo'!$C$42=2,'2-Dati generali-Cond. utilizzo'!$C$42=3),IF($B$17&gt;=$H$24,H53,IF(AND($B$17&gt;=$G$24,$B$17&lt;$H$24),H53+(G53-H53)/($G$24-$H$24)*($B$17-$H$24),IF(AND($B$17&gt;=$F$24,$B$17&lt;$G$24),G53+(F53-G53)/($F$24-$G$24)*($B$17-$G$24),IF(AND($B$17&gt;=$E$24,$B$17&lt;$F$24),F53+(E53-F53)/($E$24-$F$24)*($B$17-$F$24),IF($B$17&lt;$E$24,E53,0)))))/'1-Ore funzionamento'!$AI$7,IF($B$17&gt;=$H$24,H53,IF(AND($B$17&gt;=$G$24,$B$17&lt;$H$24),H53+(G53-H53)/($G$24-$H$24)*($B$17-$H$24),IF(AND($B$17&gt;=$F$24,$B$17&lt;$G$24),G53+(F53-G53)/($F$24-$G$24)*($B$17-$G$24),IF(AND($B$17&gt;=$E$24,$B$17&lt;$F$24),F53+(E53-F53)/($E$24-$F$24)*($B$17-$F$24),IF($B$17&lt;$E$24,E53,0))))))</f>
        <v>7.3</v>
      </c>
      <c r="E53" s="1028">
        <v>7.3</v>
      </c>
      <c r="F53" s="1028">
        <v>7.9</v>
      </c>
      <c r="G53" s="1028">
        <v>8.6999999999999993</v>
      </c>
      <c r="H53" s="1029">
        <v>9.5</v>
      </c>
      <c r="J53" s="1120">
        <f>IF(AND('2-Dati generali-Cond. utilizzo'!$C$42=2,'2-Dati generali-Cond. utilizzo'!$C$42=3),IF($H$17&lt;=$K$24,K53,IF(AND($H$17&gt;=$K$24,$H$17&lt;=$L$24),K53+(L53-K53)/($L$24-$K$24)*($H$17-$K$24),IF(AND($H$17&gt;=$L$24,$H$17&lt;=$M$24),L53+(M53-L53)/($M$24-$L$24)*($H$17-$L$24),IF(AND($H$17&gt;=$M$24,$H$17&lt;=$N$24),M53+(N53-M53)/($N$24-$M$24)*($H$17-$M$24),IF(AND($H$17&gt;=$N$24,$H$17&lt;=$O$24),N53+(O53-N53)/($O$24-$N$24)*($H$17-$N$24),IF(AND($H$17&gt;=$O$24,$H$17&lt;=$P$24),O53+(P53-O53)/($P$24-$O$24)*($H$17-$O$24),IF($H$17&gt;$P$24,P53,0)))))))/'1-Ore funzionamento'!$AI$7,IF($H$17&lt;=$K$24,K53,IF(AND($H$17&gt;=$K$24,$H$17&lt;=$L$24),K53+(L53-K53)/($L$24-$K$24)*($H$17-$K$24),IF(AND($H$17&gt;=$L$24,$H$17&lt;=$M$24),L53+(M53-L53)/($M$24-$L$24)*($H$17-$L$24),IF(AND($H$17&gt;=$M$24,$H$17&lt;=$N$24),M53+(N53-M53)/($N$24-$M$24)*($H$17-$M$24),IF(AND($H$17&gt;=$N$24,$H$17&lt;=$O$24),N53+(O53-N53)/($O$24-$N$24)*($H$17-$N$24),IF(AND($H$17&gt;=$O$24,$H$17&lt;=$P$24),O53+(P53-O53)/($P$24-$O$24)*($H$17-$O$24),IF($H$17&gt;$P$24,P53,0))))))))</f>
        <v>9.8535714285714295</v>
      </c>
      <c r="K53" s="1028">
        <v>17.79</v>
      </c>
      <c r="L53" s="1028">
        <v>16.13</v>
      </c>
      <c r="M53" s="1028">
        <v>13.78</v>
      </c>
      <c r="N53" s="1028">
        <v>10.1</v>
      </c>
      <c r="O53" s="1028">
        <v>9.8000000000000007</v>
      </c>
      <c r="P53" s="1029">
        <v>9.6</v>
      </c>
      <c r="Q53" s="1090"/>
    </row>
    <row r="54" spans="1:17" x14ac:dyDescent="0.25">
      <c r="A54" s="1121">
        <v>10</v>
      </c>
      <c r="B54" s="1111">
        <v>0.6</v>
      </c>
      <c r="C54" s="1111">
        <f t="shared" ref="C54:C59" si="14">$C$53</f>
        <v>0.22105263157894736</v>
      </c>
      <c r="D54" s="1147">
        <f>IF(AND('2-Dati generali-Cond. utilizzo'!$C$42=2,'2-Dati generali-Cond. utilizzo'!$C$42=3),IF($B$17&gt;=$H$24,H54,IF(AND($B$17&gt;=$G$24,$B$17&lt;$H$24),H54+(G54-H54)/($G$24-$H$24)*($B$17-$H$24),IF(AND($B$17&gt;=$F$24,$B$17&lt;$G$24),G54+(F54-G54)/($F$24-$G$24)*($B$17-$G$24),IF(AND($B$17&gt;=$E$24,$B$17&lt;$F$24),F54+(E54-F54)/($E$24-$F$24)*($B$17-$F$24),IF($B$17&lt;$E$24,E54,0)))))/'1-Ore funzionamento'!$AI$7,IF($B$17&gt;=$H$24,H54,IF(AND($B$17&gt;=$G$24,$B$17&lt;$H$24),H54+(G54-H54)/($G$24-$H$24)*($B$17-$H$24),IF(AND($B$17&gt;=$F$24,$B$17&lt;$G$24),G54+(F54-G54)/($F$24-$G$24)*($B$17-$G$24),IF(AND($B$17&gt;=$E$24,$B$17&lt;$F$24),F54+(E54-F54)/($E$24-$F$24)*($B$17-$F$24),IF($B$17&lt;$E$24,E54,0))))))</f>
        <v>7.8</v>
      </c>
      <c r="E54" s="1031">
        <v>7.8</v>
      </c>
      <c r="F54" s="1031">
        <v>8.5</v>
      </c>
      <c r="G54" s="1031">
        <v>9.4</v>
      </c>
      <c r="H54" s="1032">
        <v>10.3</v>
      </c>
      <c r="J54" s="1122">
        <f>IF(AND('2-Dati generali-Cond. utilizzo'!$C$42=2,'2-Dati generali-Cond. utilizzo'!$C$42=3),IF($H$17&lt;=$K$24,K54,IF(AND($H$17&gt;=$K$24,$H$17&lt;=$L$24),K54+(L54-K54)/($L$24-$K$24)*($H$17-$K$24),IF(AND($H$17&gt;=$L$24,$H$17&lt;=$M$24),L54+(M54-L54)/($M$24-$L$24)*($H$17-$L$24),IF(AND($H$17&gt;=$M$24,$H$17&lt;=$N$24),M54+(N54-M54)/($N$24-$M$24)*($H$17-$M$24),IF(AND($H$17&gt;=$N$24,$H$17&lt;=$O$24),N54+(O54-N54)/($O$24-$N$24)*($H$17-$N$24),IF(AND($H$17&gt;=$O$24,$H$17&lt;=$P$24),O54+(P54-O54)/($P$24-$O$24)*($H$17-$O$24),IF($H$17&gt;$P$24,P54,0)))))))/'1-Ore funzionamento'!$AI$7,IF($H$17&lt;=$K$24,K54,IF(AND($H$17&gt;=$K$24,$H$17&lt;=$L$24),K54+(L54-K54)/($L$24-$K$24)*($H$17-$K$24),IF(AND($H$17&gt;=$L$24,$H$17&lt;=$M$24),L54+(M54-L54)/($M$24-$L$24)*($H$17-$L$24),IF(AND($H$17&gt;=$M$24,$H$17&lt;=$N$24),M54+(N54-M54)/($N$24-$M$24)*($H$17-$M$24),IF(AND($H$17&gt;=$N$24,$H$17&lt;=$O$24),N54+(O54-N54)/($O$24-$N$24)*($H$17-$N$24),IF(AND($H$17&gt;=$O$24,$H$17&lt;=$P$24),O54+(P54-O54)/($P$24-$O$24)*($H$17-$O$24),IF($H$17&gt;$P$24,P54,0))))))))</f>
        <v>10.657142857142858</v>
      </c>
      <c r="K54" s="1031">
        <v>22.6</v>
      </c>
      <c r="L54" s="1031">
        <v>19.21</v>
      </c>
      <c r="M54" s="1031">
        <v>16.66</v>
      </c>
      <c r="N54" s="1031">
        <v>12.3</v>
      </c>
      <c r="O54" s="1031">
        <v>10.3</v>
      </c>
      <c r="P54" s="1032">
        <v>9.6999999999999993</v>
      </c>
      <c r="Q54" s="1090"/>
    </row>
    <row r="55" spans="1:17" x14ac:dyDescent="0.25">
      <c r="A55" s="1121">
        <v>13</v>
      </c>
      <c r="B55" s="1111">
        <v>0.6</v>
      </c>
      <c r="C55" s="1111">
        <f t="shared" si="14"/>
        <v>0.22105263157894736</v>
      </c>
      <c r="D55" s="1147">
        <f>IF(AND('2-Dati generali-Cond. utilizzo'!$C$42=2,'2-Dati generali-Cond. utilizzo'!$C$42=3),IF($B$17&gt;=$H$24,H55,IF(AND($B$17&gt;=$G$24,$B$17&lt;$H$24),H55+(G55-H55)/($G$24-$H$24)*($B$17-$H$24),IF(AND($B$17&gt;=$F$24,$B$17&lt;$G$24),G55+(F55-G55)/($F$24-$G$24)*($B$17-$G$24),IF(AND($B$17&gt;=$E$24,$B$17&lt;$F$24),F55+(E55-F55)/($E$24-$F$24)*($B$17-$F$24),IF($B$17&lt;$E$24,E55,0)))))/'1-Ore funzionamento'!$AI$7,IF($B$17&gt;=$H$24,H55,IF(AND($B$17&gt;=$G$24,$B$17&lt;$H$24),H55+(G55-H55)/($G$24-$H$24)*($B$17-$H$24),IF(AND($B$17&gt;=$F$24,$B$17&lt;$G$24),G55+(F55-G55)/($F$24-$G$24)*($B$17-$G$24),IF(AND($B$17&gt;=$E$24,$B$17&lt;$F$24),F55+(E55-F55)/($E$24-$F$24)*($B$17-$F$24),IF($B$17&lt;$E$24,E55,0))))))</f>
        <v>10.3</v>
      </c>
      <c r="E55" s="1123">
        <v>10.3</v>
      </c>
      <c r="F55" s="1123">
        <v>11.3</v>
      </c>
      <c r="G55" s="1123">
        <v>12.4</v>
      </c>
      <c r="H55" s="1124">
        <v>13.6</v>
      </c>
      <c r="J55" s="1122">
        <f>IF(AND('2-Dati generali-Cond. utilizzo'!$C$42=2,'2-Dati generali-Cond. utilizzo'!$C$42=3),IF($H$17&lt;=$K$24,K55,IF(AND($H$17&gt;=$K$24,$H$17&lt;=$L$24),K55+(L55-K55)/($L$24-$K$24)*($H$17-$K$24),IF(AND($H$17&gt;=$L$24,$H$17&lt;=$M$24),L55+(M55-L55)/($M$24-$L$24)*($H$17-$L$24),IF(AND($H$17&gt;=$M$24,$H$17&lt;=$N$24),M55+(N55-M55)/($N$24-$M$24)*($H$17-$M$24),IF(AND($H$17&gt;=$N$24,$H$17&lt;=$O$24),N55+(O55-N55)/($O$24-$N$24)*($H$17-$N$24),IF(AND($H$17&gt;=$O$24,$H$17&lt;=$P$24),O55+(P55-O55)/($P$24-$O$24)*($H$17-$O$24),IF($H$17&gt;$P$24,P55,0)))))))/'1-Ore funzionamento'!$AI$7,IF($H$17&lt;=$K$24,K55,IF(AND($H$17&gt;=$K$24,$H$17&lt;=$L$24),K55+(L55-K55)/($L$24-$K$24)*($H$17-$K$24),IF(AND($H$17&gt;=$L$24,$H$17&lt;=$M$24),L55+(M55-L55)/($M$24-$L$24)*($H$17-$L$24),IF(AND($H$17&gt;=$M$24,$H$17&lt;=$N$24),M55+(N55-M55)/($N$24-$M$24)*($H$17-$M$24),IF(AND($H$17&gt;=$N$24,$H$17&lt;=$O$24),N55+(O55-N55)/($O$24-$N$24)*($H$17-$N$24),IF(AND($H$17&gt;=$O$24,$H$17&lt;=$P$24),O55+(P55-O55)/($P$24-$O$24)*($H$17-$O$24),IF($H$17&gt;$P$24,P55,0))))))))</f>
        <v>12.092857142857142</v>
      </c>
      <c r="K55" s="1123">
        <v>18.02</v>
      </c>
      <c r="L55" s="1123">
        <v>18.579999999999998</v>
      </c>
      <c r="M55" s="1123">
        <v>18.84</v>
      </c>
      <c r="N55" s="1123">
        <v>13.9</v>
      </c>
      <c r="O55" s="1123">
        <v>11.7</v>
      </c>
      <c r="P55" s="1124">
        <v>10</v>
      </c>
      <c r="Q55" s="1090"/>
    </row>
    <row r="56" spans="1:17" x14ac:dyDescent="0.25">
      <c r="A56" s="1121">
        <v>16</v>
      </c>
      <c r="B56" s="1111">
        <v>0.6</v>
      </c>
      <c r="C56" s="1111">
        <f t="shared" si="14"/>
        <v>0.22105263157894736</v>
      </c>
      <c r="D56" s="1147">
        <f>IF(AND('2-Dati generali-Cond. utilizzo'!$C$42=2,'2-Dati generali-Cond. utilizzo'!$C$42=3),IF($B$17&gt;=$H$24,H56,IF(AND($B$17&gt;=$G$24,$B$17&lt;$H$24),H56+(G56-H56)/($G$24-$H$24)*($B$17-$H$24),IF(AND($B$17&gt;=$F$24,$B$17&lt;$G$24),G56+(F56-G56)/($F$24-$G$24)*($B$17-$G$24),IF(AND($B$17&gt;=$E$24,$B$17&lt;$F$24),F56+(E56-F56)/($E$24-$F$24)*($B$17-$F$24),IF($B$17&lt;$E$24,E56,0)))))/'1-Ore funzionamento'!$AI$7,IF($B$17&gt;=$H$24,H56,IF(AND($B$17&gt;=$G$24,$B$17&lt;$H$24),H56+(G56-H56)/($G$24-$H$24)*($B$17-$H$24),IF(AND($B$17&gt;=$F$24,$B$17&lt;$G$24),G56+(F56-G56)/($F$24-$G$24)*($B$17-$G$24),IF(AND($B$17&gt;=$E$24,$B$17&lt;$F$24),F56+(E56-F56)/($E$24-$F$24)*($B$17-$F$24),IF($B$17&lt;$E$24,E56,0))))))</f>
        <v>11.5</v>
      </c>
      <c r="E56" s="1123">
        <v>11.5</v>
      </c>
      <c r="F56" s="1123">
        <v>13</v>
      </c>
      <c r="G56" s="1123">
        <v>14.5</v>
      </c>
      <c r="H56" s="1124">
        <f>G56*I56</f>
        <v>13.05</v>
      </c>
      <c r="I56" s="1125">
        <v>0.9</v>
      </c>
      <c r="J56" s="1122">
        <f>IF(AND('2-Dati generali-Cond. utilizzo'!$C$42=2,'2-Dati generali-Cond. utilizzo'!$C$42=3),IF($H$17&lt;=$K$24,K56,IF(AND($H$17&gt;=$K$24,$H$17&lt;=$L$24),K56+(L56-K56)/($L$24-$K$24)*($H$17-$K$24),IF(AND($H$17&gt;=$L$24,$H$17&lt;=$M$24),L56+(M56-L56)/($M$24-$L$24)*($H$17-$L$24),IF(AND($H$17&gt;=$M$24,$H$17&lt;=$N$24),M56+(N56-M56)/($N$24-$M$24)*($H$17-$M$24),IF(AND($H$17&gt;=$N$24,$H$17&lt;=$O$24),N56+(O56-N56)/($O$24-$N$24)*($H$17-$N$24),IF(AND($H$17&gt;=$O$24,$H$17&lt;=$P$24),O56+(P56-O56)/($P$24-$O$24)*($H$17-$O$24),IF($H$17&gt;$P$24,P56,0)))))))/'1-Ore funzionamento'!$AI$7,IF($H$17&lt;=$K$24,K56,IF(AND($H$17&gt;=$K$24,$H$17&lt;=$L$24),K56+(L56-K56)/($L$24-$K$24)*($H$17-$K$24),IF(AND($H$17&gt;=$L$24,$H$17&lt;=$M$24),L56+(M56-L56)/($M$24-$L$24)*($H$17-$L$24),IF(AND($H$17&gt;=$M$24,$H$17&lt;=$N$24),M56+(N56-M56)/($N$24-$M$24)*($H$17-$M$24),IF(AND($H$17&gt;=$N$24,$H$17&lt;=$O$24),N56+(O56-N56)/($O$24-$N$24)*($H$17-$N$24),IF(AND($H$17&gt;=$O$24,$H$17&lt;=$P$24),O56+(P56-O56)/($P$24-$O$24)*($H$17-$O$24),IF($H$17&gt;$P$24,P56,0))))))))</f>
        <v>13.975</v>
      </c>
      <c r="K56" s="1123">
        <v>23</v>
      </c>
      <c r="L56" s="1123">
        <v>20.100000000000001</v>
      </c>
      <c r="M56" s="1123">
        <v>17.8</v>
      </c>
      <c r="N56" s="1123">
        <v>15.7</v>
      </c>
      <c r="O56" s="1123">
        <v>13.6</v>
      </c>
      <c r="P56" s="1124">
        <f>O56*Q56</f>
        <v>11.559999999999999</v>
      </c>
      <c r="Q56" s="1125">
        <v>0.85</v>
      </c>
    </row>
    <row r="57" spans="1:17" x14ac:dyDescent="0.25">
      <c r="A57" s="1121">
        <v>20</v>
      </c>
      <c r="B57" s="1111">
        <v>0.6</v>
      </c>
      <c r="C57" s="1111">
        <f t="shared" si="14"/>
        <v>0.22105263157894736</v>
      </c>
      <c r="D57" s="1147">
        <f>IF(AND('2-Dati generali-Cond. utilizzo'!$C$42=2,'2-Dati generali-Cond. utilizzo'!$C$42=3),IF($B$17&gt;=$H$24,H57,IF(AND($B$17&gt;=$G$24,$B$17&lt;$H$24),H57+(G57-H57)/($G$24-$H$24)*($B$17-$H$24),IF(AND($B$17&gt;=$F$24,$B$17&lt;$G$24),G57+(F57-G57)/($F$24-$G$24)*($B$17-$G$24),IF(AND($B$17&gt;=$E$24,$B$17&lt;$F$24),F57+(E57-F57)/($E$24-$F$24)*($B$17-$F$24),IF($B$17&lt;$E$24,E57,0)))))/'1-Ore funzionamento'!$AI$7,IF($B$17&gt;=$H$24,H57,IF(AND($B$17&gt;=$G$24,$B$17&lt;$H$24),H57+(G57-H57)/($G$24-$H$24)*($B$17-$H$24),IF(AND($B$17&gt;=$F$24,$B$17&lt;$G$24),G57+(F57-G57)/($F$24-$G$24)*($B$17-$G$24),IF(AND($B$17&gt;=$E$24,$B$17&lt;$F$24),F57+(E57-F57)/($E$24-$F$24)*($B$17-$F$24),IF($B$17&lt;$E$24,E57,0))))))</f>
        <v>14.5</v>
      </c>
      <c r="E57" s="1123">
        <v>14.5</v>
      </c>
      <c r="F57" s="1123">
        <v>16.600000000000001</v>
      </c>
      <c r="G57" s="1123">
        <v>18.7</v>
      </c>
      <c r="H57" s="1124">
        <f t="shared" ref="H57:H59" si="15">G57*I57</f>
        <v>16.829999999999998</v>
      </c>
      <c r="I57" s="1126">
        <v>0.9</v>
      </c>
      <c r="J57" s="1122">
        <f>IF(AND('2-Dati generali-Cond. utilizzo'!$C$42=2,'2-Dati generali-Cond. utilizzo'!$C$42=3),IF($H$17&lt;=$K$24,K57,IF(AND($H$17&gt;=$K$24,$H$17&lt;=$L$24),K57+(L57-K57)/($L$24-$K$24)*($H$17-$K$24),IF(AND($H$17&gt;=$L$24,$H$17&lt;=$M$24),L57+(M57-L57)/($M$24-$L$24)*($H$17-$L$24),IF(AND($H$17&gt;=$M$24,$H$17&lt;=$N$24),M57+(N57-M57)/($N$24-$M$24)*($H$17-$M$24),IF(AND($H$17&gt;=$N$24,$H$17&lt;=$O$24),N57+(O57-N57)/($O$24-$N$24)*($H$17-$N$24),IF(AND($H$17&gt;=$O$24,$H$17&lt;=$P$24),O57+(P57-O57)/($P$24-$O$24)*($H$17-$O$24),IF($H$17&gt;$P$24,P57,0)))))))/'1-Ore funzionamento'!$AI$7,IF($H$17&lt;=$K$24,K57,IF(AND($H$17&gt;=$K$24,$H$17&lt;=$L$24),K57+(L57-K57)/($L$24-$K$24)*($H$17-$K$24),IF(AND($H$17&gt;=$L$24,$H$17&lt;=$M$24),L57+(M57-L57)/($M$24-$L$24)*($H$17-$L$24),IF(AND($H$17&gt;=$M$24,$H$17&lt;=$N$24),M57+(N57-M57)/($N$24-$M$24)*($H$17-$M$24),IF(AND($H$17&gt;=$N$24,$H$17&lt;=$O$24),N57+(O57-N57)/($O$24-$N$24)*($H$17-$N$24),IF(AND($H$17&gt;=$O$24,$H$17&lt;=$P$24),O57+(P57-O57)/($P$24-$O$24)*($H$17-$O$24),IF($H$17&gt;$P$24,P57,0))))))))</f>
        <v>17.610714285714284</v>
      </c>
      <c r="K57" s="1123">
        <v>29.1</v>
      </c>
      <c r="L57" s="1123">
        <v>25.4</v>
      </c>
      <c r="M57" s="1123">
        <v>22.4</v>
      </c>
      <c r="N57" s="1123">
        <v>19.5</v>
      </c>
      <c r="O57" s="1123">
        <v>17.2</v>
      </c>
      <c r="P57" s="1124">
        <f t="shared" ref="P57:P59" si="16">O57*Q57</f>
        <v>14.62</v>
      </c>
      <c r="Q57" s="1127">
        <v>0.85</v>
      </c>
    </row>
    <row r="58" spans="1:17" x14ac:dyDescent="0.25">
      <c r="A58" s="1121">
        <v>25</v>
      </c>
      <c r="B58" s="1111">
        <v>0.6</v>
      </c>
      <c r="C58" s="1111">
        <f t="shared" si="14"/>
        <v>0.22105263157894736</v>
      </c>
      <c r="D58" s="1147">
        <f>IF(AND('2-Dati generali-Cond. utilizzo'!$C$42=2,'2-Dati generali-Cond. utilizzo'!$C$42=3),IF($B$17&gt;=$H$24,H58,IF(AND($B$17&gt;=$G$24,$B$17&lt;$H$24),H58+(G58-H58)/($G$24-$H$24)*($B$17-$H$24),IF(AND($B$17&gt;=$F$24,$B$17&lt;$G$24),G58+(F58-G58)/($F$24-$G$24)*($B$17-$G$24),IF(AND($B$17&gt;=$E$24,$B$17&lt;$F$24),F58+(E58-F58)/($E$24-$F$24)*($B$17-$F$24),IF($B$17&lt;$E$24,E58,0)))))/'1-Ore funzionamento'!$AI$7,IF($B$17&gt;=$H$24,H58,IF(AND($B$17&gt;=$G$24,$B$17&lt;$H$24),H58+(G58-H58)/($G$24-$H$24)*($B$17-$H$24),IF(AND($B$17&gt;=$F$24,$B$17&lt;$G$24),G58+(F58-G58)/($F$24-$G$24)*($B$17-$G$24),IF(AND($B$17&gt;=$E$24,$B$17&lt;$F$24),F58+(E58-F58)/($E$24-$F$24)*($B$17-$F$24),IF($B$17&lt;$E$24,E58,0))))))</f>
        <v>18.5</v>
      </c>
      <c r="E58" s="1123">
        <v>18.5</v>
      </c>
      <c r="F58" s="1123">
        <v>20.9</v>
      </c>
      <c r="G58" s="1123">
        <v>23.3</v>
      </c>
      <c r="H58" s="1124">
        <f t="shared" si="15"/>
        <v>20.970000000000002</v>
      </c>
      <c r="I58" s="1126">
        <v>0.9</v>
      </c>
      <c r="J58" s="1122">
        <f>IF(AND('2-Dati generali-Cond. utilizzo'!$C$42=2,'2-Dati generali-Cond. utilizzo'!$C$42=3),IF($H$17&lt;=$K$24,K58,IF(AND($H$17&gt;=$K$24,$H$17&lt;=$L$24),K58+(L58-K58)/($L$24-$K$24)*($H$17-$K$24),IF(AND($H$17&gt;=$L$24,$H$17&lt;=$M$24),L58+(M58-L58)/($M$24-$L$24)*($H$17-$L$24),IF(AND($H$17&gt;=$M$24,$H$17&lt;=$N$24),M58+(N58-M58)/($N$24-$M$24)*($H$17-$M$24),IF(AND($H$17&gt;=$N$24,$H$17&lt;=$O$24),N58+(O58-N58)/($O$24-$N$24)*($H$17-$N$24),IF(AND($H$17&gt;=$O$24,$H$17&lt;=$P$24),O58+(P58-O58)/($P$24-$O$24)*($H$17-$O$24),IF($H$17&gt;$P$24,P58,0)))))))/'1-Ore funzionamento'!$AI$7,IF($H$17&lt;=$K$24,K58,IF(AND($H$17&gt;=$K$24,$H$17&lt;=$L$24),K58+(L58-K58)/($L$24-$K$24)*($H$17-$K$24),IF(AND($H$17&gt;=$L$24,$H$17&lt;=$M$24),L58+(M58-L58)/($M$24-$L$24)*($H$17-$L$24),IF(AND($H$17&gt;=$M$24,$H$17&lt;=$N$24),M58+(N58-M58)/($N$24-$M$24)*($H$17-$M$24),IF(AND($H$17&gt;=$N$24,$H$17&lt;=$O$24),N58+(O58-N58)/($O$24-$N$24)*($H$17-$N$24),IF(AND($H$17&gt;=$O$24,$H$17&lt;=$P$24),O58+(P58-O58)/($P$24-$O$24)*($H$17-$O$24),IF($H$17&gt;$P$24,P58,0))))))))</f>
        <v>23.589285714285715</v>
      </c>
      <c r="K58" s="1123">
        <v>30.6</v>
      </c>
      <c r="L58" s="1123">
        <v>30</v>
      </c>
      <c r="M58" s="1123">
        <v>29.5</v>
      </c>
      <c r="N58" s="1123">
        <v>26.3</v>
      </c>
      <c r="O58" s="1123">
        <v>23</v>
      </c>
      <c r="P58" s="1124">
        <f t="shared" si="16"/>
        <v>19.55</v>
      </c>
      <c r="Q58" s="1127">
        <v>0.85</v>
      </c>
    </row>
    <row r="59" spans="1:17" ht="16.5" thickBot="1" x14ac:dyDescent="0.3">
      <c r="A59" s="1128">
        <v>30</v>
      </c>
      <c r="B59" s="1116">
        <v>0.6</v>
      </c>
      <c r="C59" s="1111">
        <f t="shared" si="14"/>
        <v>0.22105263157894736</v>
      </c>
      <c r="D59" s="1147">
        <f>IF(AND('2-Dati generali-Cond. utilizzo'!$C$42=2,'2-Dati generali-Cond. utilizzo'!$C$42=3),IF($B$17&gt;=$H$24,H59,IF(AND($B$17&gt;=$G$24,$B$17&lt;$H$24),H59+(G59-H59)/($G$24-$H$24)*($B$17-$H$24),IF(AND($B$17&gt;=$F$24,$B$17&lt;$G$24),G59+(F59-G59)/($F$24-$G$24)*($B$17-$G$24),IF(AND($B$17&gt;=$E$24,$B$17&lt;$F$24),F59+(E59-F59)/($E$24-$F$24)*($B$17-$F$24),IF($B$17&lt;$E$24,E59,0)))))/'1-Ore funzionamento'!$AI$7,IF($B$17&gt;=$H$24,H59,IF(AND($B$17&gt;=$G$24,$B$17&lt;$H$24),H59+(G59-H59)/($G$24-$H$24)*($B$17-$H$24),IF(AND($B$17&gt;=$F$24,$B$17&lt;$G$24),G59+(F59-G59)/($F$24-$G$24)*($B$17-$G$24),IF(AND($B$17&gt;=$E$24,$B$17&lt;$F$24),F59+(E59-F59)/($E$24-$F$24)*($B$17-$F$24),IF($B$17&lt;$E$24,E59,0))))))</f>
        <v>26</v>
      </c>
      <c r="E59" s="1130">
        <v>26</v>
      </c>
      <c r="F59" s="1130">
        <v>29.8</v>
      </c>
      <c r="G59" s="1130">
        <v>33.700000000000003</v>
      </c>
      <c r="H59" s="1124">
        <f t="shared" si="15"/>
        <v>30.330000000000002</v>
      </c>
      <c r="I59" s="1126">
        <v>0.9</v>
      </c>
      <c r="J59" s="1129">
        <f>IF(AND('2-Dati generali-Cond. utilizzo'!$C$42=2,'2-Dati generali-Cond. utilizzo'!$C$42=3),IF($H$17&lt;=$K$24,K59,IF(AND($H$17&gt;=$K$24,$H$17&lt;=$L$24),K59+(L59-K59)/($L$24-$K$24)*($H$17-$K$24),IF(AND($H$17&gt;=$L$24,$H$17&lt;=$M$24),L59+(M59-L59)/($M$24-$L$24)*($H$17-$L$24),IF(AND($H$17&gt;=$M$24,$H$17&lt;=$N$24),M59+(N59-M59)/($N$24-$M$24)*($H$17-$M$24),IF(AND($H$17&gt;=$N$24,$H$17&lt;=$O$24),N59+(O59-N59)/($O$24-$N$24)*($H$17-$N$24),IF(AND($H$17&gt;=$O$24,$H$17&lt;=$P$24),O59+(P59-O59)/($P$24-$O$24)*($H$17-$O$24),IF($H$17&gt;$P$24,P59,0)))))))/'1-Ore funzionamento'!$AI$7,IF($H$17&lt;=$K$24,K59,IF(AND($H$17&gt;=$K$24,$H$17&lt;=$L$24),K59+(L59-K59)/($L$24-$K$24)*($H$17-$K$24),IF(AND($H$17&gt;=$L$24,$H$17&lt;=$M$24),L59+(M59-L59)/($M$24-$L$24)*($H$17-$L$24),IF(AND($H$17&gt;=$M$24,$H$17&lt;=$N$24),M59+(N59-M59)/($N$24-$M$24)*($H$17-$M$24),IF(AND($H$17&gt;=$N$24,$H$17&lt;=$O$24),N59+(O59-N59)/($O$24-$N$24)*($H$17-$N$24),IF(AND($H$17&gt;=$O$24,$H$17&lt;=$P$24),O59+(P59-O59)/($P$24-$O$24)*($H$17-$O$24),IF($H$17&gt;$P$24,P59,0))))))))</f>
        <v>29.778571428571428</v>
      </c>
      <c r="K59" s="1130">
        <v>39</v>
      </c>
      <c r="L59" s="1130">
        <v>35.799999999999997</v>
      </c>
      <c r="M59" s="1130">
        <v>33.200000000000003</v>
      </c>
      <c r="N59" s="1130">
        <v>32.9</v>
      </c>
      <c r="O59" s="1130">
        <v>29.1</v>
      </c>
      <c r="P59" s="1131">
        <f t="shared" si="16"/>
        <v>24.734999999999999</v>
      </c>
      <c r="Q59" s="1125">
        <v>0.85</v>
      </c>
    </row>
    <row r="60" spans="1:17" x14ac:dyDescent="0.25">
      <c r="A60" s="1118">
        <v>8</v>
      </c>
      <c r="B60" s="1119">
        <v>0.5</v>
      </c>
      <c r="C60" s="1119">
        <f>'1-Ore funzionamento'!AF12</f>
        <v>0.2</v>
      </c>
      <c r="D60" s="1147">
        <f>IF(AND('2-Dati generali-Cond. utilizzo'!$C$42=2,'2-Dati generali-Cond. utilizzo'!$C$42=3),IF($B$18&gt;=$H$24,H60,IF(AND($B$18&gt;=$G$24,$B$18&lt;$H$24),H60+(G60-H60)/($G$24-$H$24)*($B$18-$H$24),IF(AND($B$18&gt;=$F$24,$B$18&lt;$G$24),G60+(F60-G60)/($F$24-$G$24)*($B$18-$G$24),IF(AND($B$18&gt;=$E$24,$B$18&lt;$F$24),F60+(E60-F60)/($E$24-$F$24)*($B$18-$F$24),IF($B$18&lt;$E$24,E60,0)))))/'1-Ore funzionamento'!$AI$7,IF($B$18&gt;=$H$24,H60,IF(AND($B$18&gt;=$G$24,$B$18&lt;$H$24),H60+(G60-H60)/($G$24-$H$24)*($B$18-$H$24),IF(AND($B$18&gt;=$F$24,$B$18&lt;$G$24),G60+(F60-G60)/($F$24-$G$24)*($B$18-$G$24),IF(AND($B$18&gt;=$E$24,$B$18&lt;$F$24),F60+(E60-F60)/($E$24-$F$24)*($B$18-$F$24),IF($B$18&lt;$E$24,E60,0))))))</f>
        <v>6.6</v>
      </c>
      <c r="E60" s="1028">
        <v>6.6</v>
      </c>
      <c r="F60" s="1028">
        <v>7.2</v>
      </c>
      <c r="G60" s="1028">
        <v>7.9</v>
      </c>
      <c r="H60" s="1029">
        <v>8.6</v>
      </c>
      <c r="J60" s="1120">
        <f>IF(AND('2-Dati generali-Cond. utilizzo'!$C$42=2,'2-Dati generali-Cond. utilizzo'!$C$42=3),IF($H$18&lt;=$K$24,K60,IF(AND($H$18&gt;=$K$24,$H$18&lt;=$L$24),K60+(L60-K60)/($L$24-$K$24)*($H$18-$K$24),IF(AND($H$18&gt;=$L$24,$H$18&lt;=$M$24),L60+(M60-L60)/($M$24-$L$24)*($H$18-$L$24),IF(AND($H$18&gt;=$M$24,$H$18&lt;=$N$24),M60+(N60-M60)/($N$24-$M$24)*($H$18-$M$24),IF(AND($H$18&gt;=$N$24,$H$18&lt;=$O$24),N60+(O60-N60)/($O$24-$N$24)*($H$18-$N$24),IF(AND($H$18&gt;=$O$24,$H$18&lt;=$P$24),O60+(P60-O60)/($P$24-$O$24)*($H$18-$O$24),IF($H$18&gt;$P$24,P60,0)))))))/'1-Ore funzionamento'!$AI$7,IF($H$18&lt;=$K$24,K60,IF(AND($H$18&gt;=$K$24,$H$18&lt;=$L$24),K60+(L60-K60)/($L$24-$K$24)*($H$18-$K$24),IF(AND($H$18&gt;=$L$24,$H$18&lt;=$M$24),L60+(M60-L60)/($M$24-$L$24)*($H$18-$L$24),IF(AND($H$18&gt;=$M$24,$H$18&lt;=$N$24),M60+(N60-M60)/($N$24-$M$24)*($H$18-$M$24),IF(AND($H$18&gt;=$N$24,$H$18&lt;=$O$24),N60+(O60-N60)/($O$24-$N$24)*($H$18-$N$24),IF(AND($H$18&gt;=$O$24,$H$18&lt;=$P$24),O60+(P60-O60)/($P$24-$O$24)*($H$18-$O$24),IF($H$18&gt;$P$24,P60,0))))))))</f>
        <v>9.0892857142857135</v>
      </c>
      <c r="K60" s="1028">
        <v>17.43</v>
      </c>
      <c r="L60" s="1028">
        <v>15.82</v>
      </c>
      <c r="M60" s="1028">
        <v>13.51</v>
      </c>
      <c r="N60" s="1028">
        <v>9.9</v>
      </c>
      <c r="O60" s="1028">
        <v>9.6</v>
      </c>
      <c r="P60" s="1029">
        <v>8.5</v>
      </c>
      <c r="Q60" s="1090"/>
    </row>
    <row r="61" spans="1:17" x14ac:dyDescent="0.25">
      <c r="A61" s="1121">
        <v>10</v>
      </c>
      <c r="B61" s="1111">
        <v>0.5</v>
      </c>
      <c r="C61" s="1111">
        <f t="shared" ref="C61:C66" si="17">$C$60</f>
        <v>0.2</v>
      </c>
      <c r="D61" s="1147">
        <f>IF(AND('2-Dati generali-Cond. utilizzo'!$C$42=2,'2-Dati generali-Cond. utilizzo'!$C$42=3),IF($B$18&gt;=$H$24,H61,IF(AND($B$18&gt;=$G$24,$B$18&lt;$H$24),H61+(G61-H61)/($G$24-$H$24)*($B$18-$H$24),IF(AND($B$18&gt;=$F$24,$B$18&lt;$G$24),G61+(F61-G61)/($F$24-$G$24)*($B$18-$G$24),IF(AND($B$18&gt;=$E$24,$B$18&lt;$F$24),F61+(E61-F61)/($E$24-$F$24)*($B$18-$F$24),IF($B$18&lt;$E$24,E61,0)))))/'1-Ore funzionamento'!$AI$7,IF($B$18&gt;=$H$24,H61,IF(AND($B$18&gt;=$G$24,$B$18&lt;$H$24),H61+(G61-H61)/($G$24-$H$24)*($B$18-$H$24),IF(AND($B$18&gt;=$F$24,$B$18&lt;$G$24),G61+(F61-G61)/($F$24-$G$24)*($B$18-$G$24),IF(AND($B$18&gt;=$E$24,$B$18&lt;$F$24),F61+(E61-F61)/($E$24-$F$24)*($B$18-$F$24),IF($B$18&lt;$E$24,E61,0))))))</f>
        <v>6.7</v>
      </c>
      <c r="E61" s="1031">
        <v>6.7</v>
      </c>
      <c r="F61" s="1031">
        <v>7.3</v>
      </c>
      <c r="G61" s="1031">
        <v>8</v>
      </c>
      <c r="H61" s="1032">
        <v>8.6999999999999993</v>
      </c>
      <c r="J61" s="1122">
        <f>IF(AND('2-Dati generali-Cond. utilizzo'!$C$42=2,'2-Dati generali-Cond. utilizzo'!$C$42=3),IF($H$18&lt;=$K$24,K61,IF(AND($H$18&gt;=$K$24,$H$18&lt;=$L$24),K61+(L61-K61)/($L$24-$K$24)*($H$18-$K$24),IF(AND($H$18&gt;=$L$24,$H$18&lt;=$M$24),L61+(M61-L61)/($M$24-$L$24)*($H$18-$L$24),IF(AND($H$18&gt;=$M$24,$H$18&lt;=$N$24),M61+(N61-M61)/($N$24-$M$24)*($H$18-$M$24),IF(AND($H$18&gt;=$N$24,$H$18&lt;=$O$24),N61+(O61-N61)/($O$24-$N$24)*($H$18-$N$24),IF(AND($H$18&gt;=$O$24,$H$18&lt;=$P$24),O61+(P61-O61)/($P$24-$O$24)*($H$18-$O$24),IF($H$18&gt;$P$24,P61,0)))))))/'1-Ore funzionamento'!$AI$7,IF($H$18&lt;=$K$24,K61,IF(AND($H$18&gt;=$K$24,$H$18&lt;=$L$24),K61+(L61-K61)/($L$24-$K$24)*($H$18-$K$24),IF(AND($H$18&gt;=$L$24,$H$18&lt;=$M$24),L61+(M61-L61)/($M$24-$L$24)*($H$18-$L$24),IF(AND($H$18&gt;=$M$24,$H$18&lt;=$N$24),M61+(N61-M61)/($N$24-$M$24)*($H$18-$M$24),IF(AND($H$18&gt;=$N$24,$H$18&lt;=$O$24),N61+(O61-N61)/($O$24-$N$24)*($H$18-$N$24),IF(AND($H$18&gt;=$O$24,$H$18&lt;=$P$24),O61+(P61-O61)/($P$24-$O$24)*($H$18-$O$24),IF($H$18&gt;$P$24,P61,0))))))))</f>
        <v>9.8000000000000007</v>
      </c>
      <c r="K61" s="1031">
        <v>18.93</v>
      </c>
      <c r="L61" s="1031">
        <v>16.079999999999998</v>
      </c>
      <c r="M61" s="1031">
        <v>13.95</v>
      </c>
      <c r="N61" s="1031">
        <v>10.3</v>
      </c>
      <c r="O61" s="1031">
        <v>9.8000000000000007</v>
      </c>
      <c r="P61" s="1032">
        <v>9.8000000000000007</v>
      </c>
      <c r="Q61" s="1090"/>
    </row>
    <row r="62" spans="1:17" x14ac:dyDescent="0.25">
      <c r="A62" s="1121">
        <v>13</v>
      </c>
      <c r="B62" s="1111">
        <v>0.5</v>
      </c>
      <c r="C62" s="1111">
        <f t="shared" si="17"/>
        <v>0.2</v>
      </c>
      <c r="D62" s="1147">
        <f>IF(AND('2-Dati generali-Cond. utilizzo'!$C$42=2,'2-Dati generali-Cond. utilizzo'!$C$42=3),IF($B$18&gt;=$H$24,H62,IF(AND($B$18&gt;=$G$24,$B$18&lt;$H$24),H62+(G62-H62)/($G$24-$H$24)*($B$18-$H$24),IF(AND($B$18&gt;=$F$24,$B$18&lt;$G$24),G62+(F62-G62)/($F$24-$G$24)*($B$18-$G$24),IF(AND($B$18&gt;=$E$24,$B$18&lt;$F$24),F62+(E62-F62)/($E$24-$F$24)*($B$18-$F$24),IF($B$18&lt;$E$24,E62,0)))))/'1-Ore funzionamento'!$AI$7,IF($B$18&gt;=$H$24,H62,IF(AND($B$18&gt;=$G$24,$B$18&lt;$H$24),H62+(G62-H62)/($G$24-$H$24)*($B$18-$H$24),IF(AND($B$18&gt;=$F$24,$B$18&lt;$G$24),G62+(F62-G62)/($F$24-$G$24)*($B$18-$G$24),IF(AND($B$18&gt;=$E$24,$B$18&lt;$F$24),F62+(E62-F62)/($E$24-$F$24)*($B$18-$F$24),IF($B$18&lt;$E$24,E62,0))))))</f>
        <v>8.3000000000000007</v>
      </c>
      <c r="E62" s="1123">
        <v>8.3000000000000007</v>
      </c>
      <c r="F62" s="1123">
        <v>9</v>
      </c>
      <c r="G62" s="1123">
        <v>9.9</v>
      </c>
      <c r="H62" s="1124">
        <v>10.8</v>
      </c>
      <c r="J62" s="1122">
        <f>IF(AND('2-Dati generali-Cond. utilizzo'!$C$42=2,'2-Dati generali-Cond. utilizzo'!$C$42=3),IF($H$18&lt;=$K$24,K62,IF(AND($H$18&gt;=$K$24,$H$18&lt;=$L$24),K62+(L62-K62)/($L$24-$K$24)*($H$18-$K$24),IF(AND($H$18&gt;=$L$24,$H$18&lt;=$M$24),L62+(M62-L62)/($M$24-$L$24)*($H$18-$L$24),IF(AND($H$18&gt;=$M$24,$H$18&lt;=$N$24),M62+(N62-M62)/($N$24-$M$24)*($H$18-$M$24),IF(AND($H$18&gt;=$N$24,$H$18&lt;=$O$24),N62+(O62-N62)/($O$24-$N$24)*($H$18-$N$24),IF(AND($H$18&gt;=$O$24,$H$18&lt;=$P$24),O62+(P62-O62)/($P$24-$O$24)*($H$18-$O$24),IF($H$18&gt;$P$24,P62,0)))))))/'1-Ore funzionamento'!$AI$7,IF($H$18&lt;=$K$24,K62,IF(AND($H$18&gt;=$K$24,$H$18&lt;=$L$24),K62+(L62-K62)/($L$24-$K$24)*($H$18-$K$24),IF(AND($H$18&gt;=$L$24,$H$18&lt;=$M$24),L62+(M62-L62)/($M$24-$L$24)*($H$18-$L$24),IF(AND($H$18&gt;=$M$24,$H$18&lt;=$N$24),M62+(N62-M62)/($N$24-$M$24)*($H$18-$M$24),IF(AND($H$18&gt;=$N$24,$H$18&lt;=$O$24),N62+(O62-N62)/($O$24-$N$24)*($H$18-$N$24),IF(AND($H$18&gt;=$O$24,$H$18&lt;=$P$24),O62+(P62-O62)/($P$24-$O$24)*($H$18-$O$24),IF($H$18&gt;$P$24,P62,0))))))))</f>
        <v>9.3357142857142854</v>
      </c>
      <c r="K62" s="1123">
        <v>15.17</v>
      </c>
      <c r="L62" s="1123">
        <v>15.64</v>
      </c>
      <c r="M62" s="1123">
        <v>15.86</v>
      </c>
      <c r="N62" s="1123">
        <v>11.7</v>
      </c>
      <c r="O62" s="1123">
        <v>9.8000000000000007</v>
      </c>
      <c r="P62" s="1124">
        <v>8.8000000000000007</v>
      </c>
      <c r="Q62" s="1090"/>
    </row>
    <row r="63" spans="1:17" x14ac:dyDescent="0.25">
      <c r="A63" s="1121">
        <v>16</v>
      </c>
      <c r="B63" s="1111">
        <v>0.5</v>
      </c>
      <c r="C63" s="1111">
        <f t="shared" si="17"/>
        <v>0.2</v>
      </c>
      <c r="D63" s="1147">
        <f>IF(AND('2-Dati generali-Cond. utilizzo'!$C$42=2,'2-Dati generali-Cond. utilizzo'!$C$42=3),IF($B$18&gt;=$H$24,H63,IF(AND($B$18&gt;=$G$24,$B$18&lt;$H$24),H63+(G63-H63)/($G$24-$H$24)*($B$18-$H$24),IF(AND($B$18&gt;=$F$24,$B$18&lt;$G$24),G63+(F63-G63)/($F$24-$G$24)*($B$18-$G$24),IF(AND($B$18&gt;=$E$24,$B$18&lt;$F$24),F63+(E63-F63)/($E$24-$F$24)*($B$18-$F$24),IF($B$18&lt;$E$24,E63,0)))))/'1-Ore funzionamento'!$AI$7,IF($B$18&gt;=$H$24,H63,IF(AND($B$18&gt;=$G$24,$B$18&lt;$H$24),H63+(G63-H63)/($G$24-$H$24)*($B$18-$H$24),IF(AND($B$18&gt;=$F$24,$B$18&lt;$G$24),G63+(F63-G63)/($F$24-$G$24)*($B$18-$G$24),IF(AND($B$18&gt;=$E$24,$B$18&lt;$F$24),F63+(E63-F63)/($E$24-$F$24)*($B$18-$F$24),IF($B$18&lt;$E$24,E63,0))))))</f>
        <v>8.5</v>
      </c>
      <c r="E63" s="1123">
        <v>8.5</v>
      </c>
      <c r="F63" s="1123">
        <v>9.3000000000000007</v>
      </c>
      <c r="G63" s="1123">
        <v>10</v>
      </c>
      <c r="H63" s="1124">
        <f>G63*I63</f>
        <v>9</v>
      </c>
      <c r="I63" s="1125">
        <v>0.9</v>
      </c>
      <c r="J63" s="1122">
        <f>IF(AND('2-Dati generali-Cond. utilizzo'!$C$42=2,'2-Dati generali-Cond. utilizzo'!$C$42=3),IF($H$18&lt;=$K$24,K63,IF(AND($H$18&gt;=$K$24,$H$18&lt;=$L$24),K63+(L63-K63)/($L$24-$K$24)*($H$18-$K$24),IF(AND($H$18&gt;=$L$24,$H$18&lt;=$M$24),L63+(M63-L63)/($M$24-$L$24)*($H$18-$L$24),IF(AND($H$18&gt;=$M$24,$H$18&lt;=$N$24),M63+(N63-M63)/($N$24-$M$24)*($H$18-$M$24),IF(AND($H$18&gt;=$N$24,$H$18&lt;=$O$24),N63+(O63-N63)/($O$24-$N$24)*($H$18-$N$24),IF(AND($H$18&gt;=$O$24,$H$18&lt;=$P$24),O63+(P63-O63)/($P$24-$O$24)*($H$18-$O$24),IF($H$18&gt;$P$24,P63,0)))))))/'1-Ore funzionamento'!$AI$7,IF($H$18&lt;=$K$24,K63,IF(AND($H$18&gt;=$K$24,$H$18&lt;=$L$24),K63+(L63-K63)/($L$24-$K$24)*($H$18-$K$24),IF(AND($H$18&gt;=$L$24,$H$18&lt;=$M$24),L63+(M63-L63)/($M$24-$L$24)*($H$18-$L$24),IF(AND($H$18&gt;=$M$24,$H$18&lt;=$N$24),M63+(N63-M63)/($N$24-$M$24)*($H$18-$M$24),IF(AND($H$18&gt;=$N$24,$H$18&lt;=$O$24),N63+(O63-N63)/($O$24-$N$24)*($H$18-$N$24),IF(AND($H$18&gt;=$O$24,$H$18&lt;=$P$24),O63+(P63-O63)/($P$24-$O$24)*($H$18-$O$24),IF($H$18&gt;$P$24,P63,0))))))))</f>
        <v>9.6757142857142853</v>
      </c>
      <c r="K63" s="1123">
        <v>18</v>
      </c>
      <c r="L63" s="1123">
        <v>15.7</v>
      </c>
      <c r="M63" s="1123">
        <v>13.8</v>
      </c>
      <c r="N63" s="1123">
        <v>12</v>
      </c>
      <c r="O63" s="1123">
        <v>10.4</v>
      </c>
      <c r="P63" s="1124">
        <f>O63*Q63</f>
        <v>8.84</v>
      </c>
      <c r="Q63" s="1125">
        <v>0.85</v>
      </c>
    </row>
    <row r="64" spans="1:17" x14ac:dyDescent="0.25">
      <c r="A64" s="1121">
        <v>20</v>
      </c>
      <c r="B64" s="1111">
        <v>0.5</v>
      </c>
      <c r="C64" s="1111">
        <f t="shared" si="17"/>
        <v>0.2</v>
      </c>
      <c r="D64" s="1147">
        <f>IF(AND('2-Dati generali-Cond. utilizzo'!$C$42=2,'2-Dati generali-Cond. utilizzo'!$C$42=3),IF($B$18&gt;=$H$24,H64,IF(AND($B$18&gt;=$G$24,$B$18&lt;$H$24),H64+(G64-H64)/($G$24-$H$24)*($B$18-$H$24),IF(AND($B$18&gt;=$F$24,$B$18&lt;$G$24),G64+(F64-G64)/($F$24-$G$24)*($B$18-$G$24),IF(AND($B$18&gt;=$E$24,$B$18&lt;$F$24),F64+(E64-F64)/($E$24-$F$24)*($B$18-$F$24),IF($B$18&lt;$E$24,E64,0)))))/'1-Ore funzionamento'!$AI$7,IF($B$18&gt;=$H$24,H64,IF(AND($B$18&gt;=$G$24,$B$18&lt;$H$24),H64+(G64-H64)/($G$24-$H$24)*($B$18-$H$24),IF(AND($B$18&gt;=$F$24,$B$18&lt;$G$24),G64+(F64-G64)/($F$24-$G$24)*($B$18-$G$24),IF(AND($B$18&gt;=$E$24,$B$18&lt;$F$24),F64+(E64-F64)/($E$24-$F$24)*($B$18-$F$24),IF($B$18&lt;$E$24,E64,0))))))</f>
        <v>10.1</v>
      </c>
      <c r="E64" s="1123">
        <v>10.1</v>
      </c>
      <c r="F64" s="1123">
        <v>10.8</v>
      </c>
      <c r="G64" s="1123">
        <v>11.7</v>
      </c>
      <c r="H64" s="1124">
        <f t="shared" ref="H64:H66" si="18">G64*I64</f>
        <v>10.53</v>
      </c>
      <c r="I64" s="1126">
        <v>0.9</v>
      </c>
      <c r="J64" s="1122">
        <f>IF(AND('2-Dati generali-Cond. utilizzo'!$C$42=2,'2-Dati generali-Cond. utilizzo'!$C$42=3),IF($H$18&lt;=$K$24,K64,IF(AND($H$18&gt;=$K$24,$H$18&lt;=$L$24),K64+(L64-K64)/($L$24-$K$24)*($H$18-$K$24),IF(AND($H$18&gt;=$L$24,$H$18&lt;=$M$24),L64+(M64-L64)/($M$24-$L$24)*($H$18-$L$24),IF(AND($H$18&gt;=$M$24,$H$18&lt;=$N$24),M64+(N64-M64)/($N$24-$M$24)*($H$18-$M$24),IF(AND($H$18&gt;=$N$24,$H$18&lt;=$O$24),N64+(O64-N64)/($O$24-$N$24)*($H$18-$N$24),IF(AND($H$18&gt;=$O$24,$H$18&lt;=$P$24),O64+(P64-O64)/($P$24-$O$24)*($H$18-$O$24),IF($H$18&gt;$P$24,P64,0)))))))/'1-Ore funzionamento'!$AI$7,IF($H$18&lt;=$K$24,K64,IF(AND($H$18&gt;=$K$24,$H$18&lt;=$L$24),K64+(L64-K64)/($L$24-$K$24)*($H$18-$K$24),IF(AND($H$18&gt;=$L$24,$H$18&lt;=$M$24),L64+(M64-L64)/($M$24-$L$24)*($H$18-$L$24),IF(AND($H$18&gt;=$M$24,$H$18&lt;=$N$24),M64+(N64-M64)/($N$24-$M$24)*($H$18-$M$24),IF(AND($H$18&gt;=$N$24,$H$18&lt;=$O$24),N64+(O64-N64)/($O$24-$N$24)*($H$18-$N$24),IF(AND($H$18&gt;=$O$24,$H$18&lt;=$P$24),O64+(P64-O64)/($P$24-$O$24)*($H$18-$O$24),IF($H$18&gt;$P$24,P64,0))))))))</f>
        <v>12.18767857142857</v>
      </c>
      <c r="K64" s="1123">
        <v>22.4</v>
      </c>
      <c r="L64" s="1123">
        <v>19.7</v>
      </c>
      <c r="M64" s="1123">
        <v>17.600000000000001</v>
      </c>
      <c r="N64" s="1123">
        <v>15.1</v>
      </c>
      <c r="O64" s="1123">
        <v>13.1</v>
      </c>
      <c r="P64" s="1124">
        <f t="shared" ref="P64:P66" si="19">O64*Q64</f>
        <v>11.135</v>
      </c>
      <c r="Q64" s="1127">
        <v>0.85</v>
      </c>
    </row>
    <row r="65" spans="1:26" x14ac:dyDescent="0.25">
      <c r="A65" s="1121">
        <v>25</v>
      </c>
      <c r="B65" s="1111">
        <v>0.5</v>
      </c>
      <c r="C65" s="1111">
        <f t="shared" si="17"/>
        <v>0.2</v>
      </c>
      <c r="D65" s="1147">
        <f>IF(AND('2-Dati generali-Cond. utilizzo'!$C$42=2,'2-Dati generali-Cond. utilizzo'!$C$42=3),IF($B$18&gt;=$H$24,H65,IF(AND($B$18&gt;=$G$24,$B$18&lt;$H$24),H65+(G65-H65)/($G$24-$H$24)*($B$18-$H$24),IF(AND($B$18&gt;=$F$24,$B$18&lt;$G$24),G65+(F65-G65)/($F$24-$G$24)*($B$18-$G$24),IF(AND($B$18&gt;=$E$24,$B$18&lt;$F$24),F65+(E65-F65)/($E$24-$F$24)*($B$18-$F$24),IF($B$18&lt;$E$24,E65,0)))))/'1-Ore funzionamento'!$AI$7,IF($B$18&gt;=$H$24,H65,IF(AND($B$18&gt;=$G$24,$B$18&lt;$H$24),H65+(G65-H65)/($G$24-$H$24)*($B$18-$H$24),IF(AND($B$18&gt;=$F$24,$B$18&lt;$G$24),G65+(F65-G65)/($F$24-$G$24)*($B$18-$G$24),IF(AND($B$18&gt;=$E$24,$B$18&lt;$F$24),F65+(E65-F65)/($E$24-$F$24)*($B$18-$F$24),IF($B$18&lt;$E$24,E65,0))))))</f>
        <v>13.8</v>
      </c>
      <c r="E65" s="1123">
        <v>13.8</v>
      </c>
      <c r="F65" s="1123">
        <v>14.7</v>
      </c>
      <c r="G65" s="1123">
        <v>15.8</v>
      </c>
      <c r="H65" s="1124">
        <f t="shared" si="18"/>
        <v>14.22</v>
      </c>
      <c r="I65" s="1126">
        <v>0.9</v>
      </c>
      <c r="J65" s="1122">
        <f>IF(AND('2-Dati generali-Cond. utilizzo'!$C$42=2,'2-Dati generali-Cond. utilizzo'!$C$42=3),IF($H$18&lt;=$K$24,K65,IF(AND($H$18&gt;=$K$24,$H$18&lt;=$L$24),K65+(L65-K65)/($L$24-$K$24)*($H$18-$K$24),IF(AND($H$18&gt;=$L$24,$H$18&lt;=$M$24),L65+(M65-L65)/($M$24-$L$24)*($H$18-$L$24),IF(AND($H$18&gt;=$M$24,$H$18&lt;=$N$24),M65+(N65-M65)/($N$24-$M$24)*($H$18-$M$24),IF(AND($H$18&gt;=$N$24,$H$18&lt;=$O$24),N65+(O65-N65)/($O$24-$N$24)*($H$18-$N$24),IF(AND($H$18&gt;=$O$24,$H$18&lt;=$P$24),O65+(P65-O65)/($P$24-$O$24)*($H$18-$O$24),IF($H$18&gt;$P$24,P65,0)))))))/'1-Ore funzionamento'!$AI$7,IF($H$18&lt;=$K$24,K65,IF(AND($H$18&gt;=$K$24,$H$18&lt;=$L$24),K65+(L65-K65)/($L$24-$K$24)*($H$18-$K$24),IF(AND($H$18&gt;=$L$24,$H$18&lt;=$M$24),L65+(M65-L65)/($M$24-$L$24)*($H$18-$L$24),IF(AND($H$18&gt;=$M$24,$H$18&lt;=$N$24),M65+(N65-M65)/($N$24-$M$24)*($H$18-$M$24),IF(AND($H$18&gt;=$N$24,$H$18&lt;=$O$24),N65+(O65-N65)/($O$24-$N$24)*($H$18-$N$24),IF(AND($H$18&gt;=$O$24,$H$18&lt;=$P$24),O65+(P65-O65)/($P$24-$O$24)*($H$18-$O$24),IF($H$18&gt;$P$24,P65,0))))))))</f>
        <v>16.188214285714285</v>
      </c>
      <c r="K65" s="1123">
        <v>23.6</v>
      </c>
      <c r="L65" s="1123">
        <v>23</v>
      </c>
      <c r="M65" s="1123">
        <v>22.6</v>
      </c>
      <c r="N65" s="1123">
        <v>20.100000000000001</v>
      </c>
      <c r="O65" s="1123">
        <v>17.399999999999999</v>
      </c>
      <c r="P65" s="1124">
        <f t="shared" si="19"/>
        <v>14.79</v>
      </c>
      <c r="Q65" s="1127">
        <v>0.85</v>
      </c>
    </row>
    <row r="66" spans="1:26" ht="16.5" thickBot="1" x14ac:dyDescent="0.3">
      <c r="A66" s="1128">
        <v>30</v>
      </c>
      <c r="B66" s="1116">
        <v>0.5</v>
      </c>
      <c r="C66" s="1111">
        <f t="shared" si="17"/>
        <v>0.2</v>
      </c>
      <c r="D66" s="1147">
        <f>IF(AND('2-Dati generali-Cond. utilizzo'!$C$42=2,'2-Dati generali-Cond. utilizzo'!$C$42=3),IF($B$18&gt;=$H$24,H66,IF(AND($B$18&gt;=$G$24,$B$18&lt;$H$24),H66+(G66-H66)/($G$24-$H$24)*($B$18-$H$24),IF(AND($B$18&gt;=$F$24,$B$18&lt;$G$24),G66+(F66-G66)/($F$24-$G$24)*($B$18-$G$24),IF(AND($B$18&gt;=$E$24,$B$18&lt;$F$24),F66+(E66-F66)/($E$24-$F$24)*($B$18-$F$24),IF($B$18&lt;$E$24,E66,0)))))/'1-Ore funzionamento'!$AI$7,IF($B$18&gt;=$H$24,H66,IF(AND($B$18&gt;=$G$24,$B$18&lt;$H$24),H66+(G66-H66)/($G$24-$H$24)*($B$18-$H$24),IF(AND($B$18&gt;=$F$24,$B$18&lt;$G$24),G66+(F66-G66)/($F$24-$G$24)*($B$18-$G$24),IF(AND($B$18&gt;=$E$24,$B$18&lt;$F$24),F66+(E66-F66)/($E$24-$F$24)*($B$18-$F$24),IF($B$18&lt;$E$24,E66,0))))))</f>
        <v>18.600000000000001</v>
      </c>
      <c r="E66" s="1130">
        <v>18.600000000000001</v>
      </c>
      <c r="F66" s="1130">
        <v>20.100000000000001</v>
      </c>
      <c r="G66" s="1130">
        <v>21.7</v>
      </c>
      <c r="H66" s="1124">
        <f t="shared" si="18"/>
        <v>19.53</v>
      </c>
      <c r="I66" s="1126">
        <v>0.9</v>
      </c>
      <c r="J66" s="1129">
        <f>IF(AND('2-Dati generali-Cond. utilizzo'!$C$42=2,'2-Dati generali-Cond. utilizzo'!$C$42=3),IF($H$18&lt;=$K$24,K66,IF(AND($H$18&gt;=$K$24,$H$18&lt;=$L$24),K66+(L66-K66)/($L$24-$K$24)*($H$18-$K$24),IF(AND($H$18&gt;=$L$24,$H$18&lt;=$M$24),L66+(M66-L66)/($M$24-$L$24)*($H$18-$L$24),IF(AND($H$18&gt;=$M$24,$H$18&lt;=$N$24),M66+(N66-M66)/($N$24-$M$24)*($H$18-$M$24),IF(AND($H$18&gt;=$N$24,$H$18&lt;=$O$24),N66+(O66-N66)/($O$24-$N$24)*($H$18-$N$24),IF(AND($H$18&gt;=$O$24,$H$18&lt;=$P$24),O66+(P66-O66)/($P$24-$O$24)*($H$18-$O$24),IF($H$18&gt;$P$24,P66,0)))))))/'1-Ore funzionamento'!$AI$7,IF($H$18&lt;=$K$24,K66,IF(AND($H$18&gt;=$K$24,$H$18&lt;=$L$24),K66+(L66-K66)/($L$24-$K$24)*($H$18-$K$24),IF(AND($H$18&gt;=$L$24,$H$18&lt;=$M$24),L66+(M66-L66)/($M$24-$L$24)*($H$18-$L$24),IF(AND($H$18&gt;=$M$24,$H$18&lt;=$N$24),M66+(N66-M66)/($N$24-$M$24)*($H$18-$M$24),IF(AND($H$18&gt;=$N$24,$H$18&lt;=$O$24),N66+(O66-N66)/($O$24-$N$24)*($H$18-$N$24),IF(AND($H$18&gt;=$O$24,$H$18&lt;=$P$24),O66+(P66-O66)/($P$24-$O$24)*($H$18-$O$24),IF($H$18&gt;$P$24,P66,0))))))))</f>
        <v>20.281785714285714</v>
      </c>
      <c r="K66" s="1130">
        <v>29.2</v>
      </c>
      <c r="L66" s="1130">
        <v>27.5</v>
      </c>
      <c r="M66" s="1130">
        <v>26.2</v>
      </c>
      <c r="N66" s="1130">
        <v>25.1</v>
      </c>
      <c r="O66" s="1130">
        <v>21.8</v>
      </c>
      <c r="P66" s="1131">
        <f t="shared" si="19"/>
        <v>18.53</v>
      </c>
      <c r="Q66" s="1125">
        <v>0.85</v>
      </c>
    </row>
    <row r="67" spans="1:26" s="533" customFormat="1" x14ac:dyDescent="0.25">
      <c r="A67" s="1132">
        <v>8</v>
      </c>
      <c r="B67" s="1133">
        <v>0.4</v>
      </c>
      <c r="C67" s="1133">
        <f>'1-Ore funzionamento'!AF13</f>
        <v>9.4736842105263161E-2</v>
      </c>
      <c r="D67" s="1147">
        <f>IF(AND('2-Dati generali-Cond. utilizzo'!$C$42=2,'2-Dati generali-Cond. utilizzo'!$C$42=3),IF($B$19&gt;=$H$24,H67,IF(AND($B$19&gt;=$G$24,$B$19&lt;$H$24),H67+(G67-H67)/($G$24-$H$24)*($B$19-$H$24),IF(AND($B$19&gt;=$F$24,$B$19&lt;$G$24),G67+(F67-G67)/($F$24-$G$24)*($B$19-$G$24),IF(AND($B$19&gt;=$E$24,$B$19&lt;$F$24),F67+(E67-F67)/($E$24-$F$24)*($B$19-$F$24),IF($B$19&lt;$E$24,E67,0)))))/'1-Ore funzionamento'!$AI$7,IF($B$19&gt;=$H$24,H67,IF(AND($B$19&gt;=$G$24,$B$19&lt;$H$24),H67+(G67-H67)/($G$24-$H$24)*($B$19-$H$24),IF(AND($B$19&gt;=$F$24,$B$19&lt;$G$24),G67+(F67-G67)/($F$24-$G$24)*($B$19-$G$24),IF(AND($B$19&gt;=$E$24,$B$19&lt;$F$24),F67+(E67-F67)/($E$24-$F$24)*($B$19-$F$24),IF($B$19&lt;$E$24,E67,0))))))</f>
        <v>5.28</v>
      </c>
      <c r="E67" s="1135">
        <f t="shared" ref="E67:H69" si="20">0.8*E60</f>
        <v>5.28</v>
      </c>
      <c r="F67" s="1135">
        <f t="shared" si="20"/>
        <v>5.7600000000000007</v>
      </c>
      <c r="G67" s="1135">
        <f t="shared" si="20"/>
        <v>6.32</v>
      </c>
      <c r="H67" s="1136">
        <f t="shared" si="20"/>
        <v>6.88</v>
      </c>
      <c r="I67" s="1134"/>
      <c r="J67" s="1120">
        <f>IF(AND('2-Dati generali-Cond. utilizzo'!$C$42=2,'2-Dati generali-Cond. utilizzo'!$C$42=3),IF($H$19&lt;=$K$24,K67,IF(AND($H$19&gt;=$K$24,$H$19&lt;=$L$24),K67+(L67-K67)/($L$24-$K$24)*($H$19-$K$24),IF(AND($H$19&gt;=$L$24,$H$19&lt;=$M$24),L67+(M67-L67)/($M$24-$L$24)*($H$19-$L$24),IF(AND($H$19&gt;=$M$24,$H$19&lt;=$N$24),M67+(N67-M67)/($N$24-$M$24)*($H$19-$M$24),IF(AND($H$19&gt;=$N$24,$H$19&lt;=$O$24),N67+(O67-N67)/($O$24-$N$24)*($H$19-$N$24),IF(AND($H$19&gt;=$O$24,$H$19&lt;=$P$24),O67+(P67-O67)/($P$24-$O$24)*($H$19-$O$24),IF($H$19&gt;$P$24,P67,0)))))))/'1-Ore funzionamento'!$AI$7,IF($H$19&lt;=$K$24,K67,IF(AND($H$19&gt;=$K$24,$H$19&lt;=$L$24),K67+(L67-K67)/($L$24-$K$24)*($H$19-$K$24),IF(AND($H$19&gt;=$L$24,$H$19&lt;=$M$24),L67+(M67-L67)/($M$24-$L$24)*($H$19-$L$24),IF(AND($H$19&gt;=$M$24,$H$19&lt;=$N$24),M67+(N67-M67)/($N$24-$M$24)*($H$19-$M$24),IF(AND($H$19&gt;=$N$24,$H$19&lt;=$O$24),N67+(O67-N67)/($O$24-$N$24)*($H$19-$N$24),IF(AND($H$19&gt;=$O$24,$H$19&lt;=$P$24),O67+(P67-O67)/($P$24-$O$24)*($H$19-$O$24),IF($H$19&gt;$P$24,P67,0))))))))</f>
        <v>6.8000000000000007</v>
      </c>
      <c r="K67" s="1135">
        <f t="shared" ref="K67:P67" si="21">0.8*K60</f>
        <v>13.944000000000001</v>
      </c>
      <c r="L67" s="1135">
        <f t="shared" si="21"/>
        <v>12.656000000000001</v>
      </c>
      <c r="M67" s="1135">
        <f t="shared" si="21"/>
        <v>10.808</v>
      </c>
      <c r="N67" s="1135">
        <f t="shared" si="21"/>
        <v>7.9200000000000008</v>
      </c>
      <c r="O67" s="1135">
        <f t="shared" si="21"/>
        <v>7.68</v>
      </c>
      <c r="P67" s="1136">
        <f t="shared" si="21"/>
        <v>6.8000000000000007</v>
      </c>
      <c r="Q67" s="1137"/>
      <c r="R67" s="1134"/>
      <c r="S67" s="1134"/>
      <c r="T67" s="1134"/>
      <c r="U67" s="1134"/>
      <c r="V67" s="1134"/>
      <c r="W67" s="1134"/>
      <c r="X67" s="1134"/>
      <c r="Y67" s="1134"/>
      <c r="Z67" s="1134"/>
    </row>
    <row r="68" spans="1:26" s="533" customFormat="1" x14ac:dyDescent="0.25">
      <c r="A68" s="1138">
        <v>10</v>
      </c>
      <c r="B68" s="1139">
        <v>0.4</v>
      </c>
      <c r="C68" s="1139">
        <f t="shared" ref="C68:C73" si="22">$C$67</f>
        <v>9.4736842105263161E-2</v>
      </c>
      <c r="D68" s="1147">
        <f>IF(AND('2-Dati generali-Cond. utilizzo'!$C$42=2,'2-Dati generali-Cond. utilizzo'!$C$42=3),IF($B$19&gt;=$H$24,H68,IF(AND($B$19&gt;=$G$24,$B$19&lt;$H$24),H68+(G68-H68)/($G$24-$H$24)*($B$19-$H$24),IF(AND($B$19&gt;=$F$24,$B$19&lt;$G$24),G68+(F68-G68)/($F$24-$G$24)*($B$19-$G$24),IF(AND($B$19&gt;=$E$24,$B$19&lt;$F$24),F68+(E68-F68)/($E$24-$F$24)*($B$19-$F$24),IF($B$19&lt;$E$24,E68,0)))))/'1-Ore funzionamento'!$AI$7,IF($B$19&gt;=$H$24,H68,IF(AND($B$19&gt;=$G$24,$B$19&lt;$H$24),H68+(G68-H68)/($G$24-$H$24)*($B$19-$H$24),IF(AND($B$19&gt;=$F$24,$B$19&lt;$G$24),G68+(F68-G68)/($F$24-$G$24)*($B$19-$G$24),IF(AND($B$19&gt;=$E$24,$B$19&lt;$F$24),F68+(E68-F68)/($E$24-$F$24)*($B$19-$F$24),IF($B$19&lt;$E$24,E68,0))))))</f>
        <v>5.36</v>
      </c>
      <c r="E68" s="1140">
        <f t="shared" si="20"/>
        <v>5.36</v>
      </c>
      <c r="F68" s="1140">
        <f t="shared" si="20"/>
        <v>5.84</v>
      </c>
      <c r="G68" s="1140">
        <f t="shared" si="20"/>
        <v>6.4</v>
      </c>
      <c r="H68" s="1141">
        <f t="shared" si="20"/>
        <v>6.96</v>
      </c>
      <c r="I68" s="1134"/>
      <c r="J68" s="1122">
        <f>IF(AND('2-Dati generali-Cond. utilizzo'!$C$42=2,'2-Dati generali-Cond. utilizzo'!$C$42=3),IF($H$19&lt;=$K$24,K68,IF(AND($H$19&gt;=$K$24,$H$19&lt;=$L$24),K68+(L68-K68)/($L$24-$K$24)*($H$19-$K$24),IF(AND($H$19&gt;=$L$24,$H$19&lt;=$M$24),L68+(M68-L68)/($M$24-$L$24)*($H$19-$L$24),IF(AND($H$19&gt;=$M$24,$H$19&lt;=$N$24),M68+(N68-M68)/($N$24-$M$24)*($H$19-$M$24),IF(AND($H$19&gt;=$N$24,$H$19&lt;=$O$24),N68+(O68-N68)/($O$24-$N$24)*($H$19-$N$24),IF(AND($H$19&gt;=$O$24,$H$19&lt;=$P$24),O68+(P68-O68)/($P$24-$O$24)*($H$19-$O$24),IF($H$19&gt;$P$24,P68,0)))))))/'1-Ore funzionamento'!$AI$7,IF($H$19&lt;=$K$24,K68,IF(AND($H$19&gt;=$K$24,$H$19&lt;=$L$24),K68+(L68-K68)/($L$24-$K$24)*($H$19-$K$24),IF(AND($H$19&gt;=$L$24,$H$19&lt;=$M$24),L68+(M68-L68)/($M$24-$L$24)*($H$19-$L$24),IF(AND($H$19&gt;=$M$24,$H$19&lt;=$N$24),M68+(N68-M68)/($N$24-$M$24)*($H$19-$M$24),IF(AND($H$19&gt;=$N$24,$H$19&lt;=$O$24),N68+(O68-N68)/($O$24-$N$24)*($H$19-$N$24),IF(AND($H$19&gt;=$O$24,$H$19&lt;=$P$24),O68+(P68-O68)/($P$24-$O$24)*($H$19-$O$24),IF($H$19&gt;$P$24,P68,0))))))))</f>
        <v>7.8400000000000007</v>
      </c>
      <c r="K68" s="1140">
        <f t="shared" ref="K68:P69" si="23">0.8*K61</f>
        <v>15.144</v>
      </c>
      <c r="L68" s="1140">
        <f t="shared" si="23"/>
        <v>12.863999999999999</v>
      </c>
      <c r="M68" s="1140">
        <f t="shared" si="23"/>
        <v>11.16</v>
      </c>
      <c r="N68" s="1140">
        <f t="shared" si="23"/>
        <v>8.24</v>
      </c>
      <c r="O68" s="1140">
        <f t="shared" si="23"/>
        <v>7.8400000000000007</v>
      </c>
      <c r="P68" s="1141">
        <f t="shared" si="23"/>
        <v>7.8400000000000007</v>
      </c>
      <c r="Q68" s="1137"/>
      <c r="R68" s="1134"/>
      <c r="S68" s="1134"/>
      <c r="T68" s="1134"/>
      <c r="U68" s="1134"/>
      <c r="V68" s="1134"/>
      <c r="W68" s="1134"/>
      <c r="X68" s="1134"/>
      <c r="Y68" s="1134"/>
      <c r="Z68" s="1134"/>
    </row>
    <row r="69" spans="1:26" s="533" customFormat="1" x14ac:dyDescent="0.25">
      <c r="A69" s="1138">
        <v>13</v>
      </c>
      <c r="B69" s="1139">
        <v>0.4</v>
      </c>
      <c r="C69" s="1139">
        <f t="shared" si="22"/>
        <v>9.4736842105263161E-2</v>
      </c>
      <c r="D69" s="1147">
        <f>IF(AND('2-Dati generali-Cond. utilizzo'!$C$42=2,'2-Dati generali-Cond. utilizzo'!$C$42=3),IF($B$19&gt;=$H$24,H69,IF(AND($B$19&gt;=$G$24,$B$19&lt;$H$24),H69+(G69-H69)/($G$24-$H$24)*($B$19-$H$24),IF(AND($B$19&gt;=$F$24,$B$19&lt;$G$24),G69+(F69-G69)/($F$24-$G$24)*($B$19-$G$24),IF(AND($B$19&gt;=$E$24,$B$19&lt;$F$24),F69+(E69-F69)/($E$24-$F$24)*($B$19-$F$24),IF($B$19&lt;$E$24,E69,0)))))/'1-Ore funzionamento'!$AI$7,IF($B$19&gt;=$H$24,H69,IF(AND($B$19&gt;=$G$24,$B$19&lt;$H$24),H69+(G69-H69)/($G$24-$H$24)*($B$19-$H$24),IF(AND($B$19&gt;=$F$24,$B$19&lt;$G$24),G69+(F69-G69)/($F$24-$G$24)*($B$19-$G$24),IF(AND($B$19&gt;=$E$24,$B$19&lt;$F$24),F69+(E69-F69)/($E$24-$F$24)*($B$19-$F$24),IF($B$19&lt;$E$24,E69,0))))))</f>
        <v>6.6400000000000006</v>
      </c>
      <c r="E69" s="1140">
        <f t="shared" si="20"/>
        <v>6.6400000000000006</v>
      </c>
      <c r="F69" s="1140">
        <f t="shared" si="20"/>
        <v>7.2</v>
      </c>
      <c r="G69" s="1140">
        <f t="shared" si="20"/>
        <v>7.9200000000000008</v>
      </c>
      <c r="H69" s="1141">
        <f t="shared" si="20"/>
        <v>8.64</v>
      </c>
      <c r="I69" s="1134"/>
      <c r="J69" s="1122">
        <f>IF(AND('2-Dati generali-Cond. utilizzo'!$C$42=2,'2-Dati generali-Cond. utilizzo'!$C$42=3),IF($H$19&lt;=$K$24,K69,IF(AND($H$19&gt;=$K$24,$H$19&lt;=$L$24),K69+(L69-K69)/($L$24-$K$24)*($H$19-$K$24),IF(AND($H$19&gt;=$L$24,$H$19&lt;=$M$24),L69+(M69-L69)/($M$24-$L$24)*($H$19-$L$24),IF(AND($H$19&gt;=$M$24,$H$19&lt;=$N$24),M69+(N69-M69)/($N$24-$M$24)*($H$19-$M$24),IF(AND($H$19&gt;=$N$24,$H$19&lt;=$O$24),N69+(O69-N69)/($O$24-$N$24)*($H$19-$N$24),IF(AND($H$19&gt;=$O$24,$H$19&lt;=$P$24),O69+(P69-O69)/($P$24-$O$24)*($H$19-$O$24),IF($H$19&gt;$P$24,P69,0)))))))/'1-Ore funzionamento'!$AI$7,IF($H$19&lt;=$K$24,K69,IF(AND($H$19&gt;=$K$24,$H$19&lt;=$L$24),K69+(L69-K69)/($L$24-$K$24)*($H$19-$K$24),IF(AND($H$19&gt;=$L$24,$H$19&lt;=$M$24),L69+(M69-L69)/($M$24-$L$24)*($H$19-$L$24),IF(AND($H$19&gt;=$M$24,$H$19&lt;=$N$24),M69+(N69-M69)/($N$24-$M$24)*($H$19-$M$24),IF(AND($H$19&gt;=$N$24,$H$19&lt;=$O$24),N69+(O69-N69)/($O$24-$N$24)*($H$19-$N$24),IF(AND($H$19&gt;=$O$24,$H$19&lt;=$P$24),O69+(P69-O69)/($P$24-$O$24)*($H$19-$O$24),IF($H$19&gt;$P$24,P69,0))))))))</f>
        <v>7.0400000000000009</v>
      </c>
      <c r="K69" s="1140">
        <f t="shared" si="23"/>
        <v>12.136000000000001</v>
      </c>
      <c r="L69" s="1140">
        <f t="shared" si="23"/>
        <v>12.512</v>
      </c>
      <c r="M69" s="1140">
        <f t="shared" si="23"/>
        <v>12.688000000000001</v>
      </c>
      <c r="N69" s="1140">
        <f t="shared" si="23"/>
        <v>9.36</v>
      </c>
      <c r="O69" s="1140">
        <f t="shared" si="23"/>
        <v>7.8400000000000007</v>
      </c>
      <c r="P69" s="1141">
        <f t="shared" si="23"/>
        <v>7.0400000000000009</v>
      </c>
      <c r="Q69" s="1137"/>
      <c r="R69" s="1134"/>
      <c r="S69" s="1134"/>
      <c r="T69" s="1134"/>
      <c r="U69" s="1134"/>
      <c r="V69" s="1134"/>
      <c r="W69" s="1134"/>
      <c r="X69" s="1134"/>
      <c r="Y69" s="1134"/>
      <c r="Z69" s="1134"/>
    </row>
    <row r="70" spans="1:26" s="533" customFormat="1" x14ac:dyDescent="0.25">
      <c r="A70" s="1138">
        <v>16</v>
      </c>
      <c r="B70" s="1139">
        <v>0.4</v>
      </c>
      <c r="C70" s="1139">
        <f t="shared" si="22"/>
        <v>9.4736842105263161E-2</v>
      </c>
      <c r="D70" s="1147">
        <f>IF(AND('2-Dati generali-Cond. utilizzo'!$C$42=2,'2-Dati generali-Cond. utilizzo'!$C$42=3),IF($B$19&gt;=$H$24,H70,IF(AND($B$19&gt;=$G$24,$B$19&lt;$H$24),H70+(G70-H70)/($G$24-$H$24)*($B$19-$H$24),IF(AND($B$19&gt;=$F$24,$B$19&lt;$G$24),G70+(F70-G70)/($F$24-$G$24)*($B$19-$G$24),IF(AND($B$19&gt;=$E$24,$B$19&lt;$F$24),F70+(E70-F70)/($E$24-$F$24)*($B$19-$F$24),IF($B$19&lt;$E$24,E70,0)))))/'1-Ore funzionamento'!$AI$7,IF($B$19&gt;=$H$24,H70,IF(AND($B$19&gt;=$G$24,$B$19&lt;$H$24),H70+(G70-H70)/($G$24-$H$24)*($B$19-$H$24),IF(AND($B$19&gt;=$F$24,$B$19&lt;$G$24),G70+(F70-G70)/($F$24-$G$24)*($B$19-$G$24),IF(AND($B$19&gt;=$E$24,$B$19&lt;$F$24),F70+(E70-F70)/($E$24-$F$24)*($B$19-$F$24),IF($B$19&lt;$E$24,E70,0))))))</f>
        <v>7.5</v>
      </c>
      <c r="E70" s="1123">
        <v>7.5</v>
      </c>
      <c r="F70" s="1123">
        <v>8.1999999999999993</v>
      </c>
      <c r="G70" s="1123">
        <v>8.8000000000000007</v>
      </c>
      <c r="H70" s="1124">
        <f>G70*I70</f>
        <v>7.9200000000000008</v>
      </c>
      <c r="I70" s="1125">
        <v>0.9</v>
      </c>
      <c r="J70" s="1122">
        <f>IF(AND('2-Dati generali-Cond. utilizzo'!$C$42=2,'2-Dati generali-Cond. utilizzo'!$C$42=3),IF($H$19&lt;=$K$24,K70,IF(AND($H$19&gt;=$K$24,$H$19&lt;=$L$24),K70+(L70-K70)/($L$24-$K$24)*($H$19-$K$24),IF(AND($H$19&gt;=$L$24,$H$19&lt;=$M$24),L70+(M70-L70)/($M$24-$L$24)*($H$19-$L$24),IF(AND($H$19&gt;=$M$24,$H$19&lt;=$N$24),M70+(N70-M70)/($N$24-$M$24)*($H$19-$M$24),IF(AND($H$19&gt;=$N$24,$H$19&lt;=$O$24),N70+(O70-N70)/($O$24-$N$24)*($H$19-$N$24),IF(AND($H$19&gt;=$O$24,$H$19&lt;=$P$24),O70+(P70-O70)/($P$24-$O$24)*($H$19-$O$24),IF($H$19&gt;$P$24,P70,0)))))))/'1-Ore funzionamento'!$AI$7,IF($H$19&lt;=$K$24,K70,IF(AND($H$19&gt;=$K$24,$H$19&lt;=$L$24),K70+(L70-K70)/($L$24-$K$24)*($H$19-$K$24),IF(AND($H$19&gt;=$L$24,$H$19&lt;=$M$24),L70+(M70-L70)/($M$24-$L$24)*($H$19-$L$24),IF(AND($H$19&gt;=$M$24,$H$19&lt;=$N$24),M70+(N70-M70)/($N$24-$M$24)*($H$19-$M$24),IF(AND($H$19&gt;=$N$24,$H$19&lt;=$O$24),N70+(O70-N70)/($O$24-$N$24)*($H$19-$N$24),IF(AND($H$19&gt;=$O$24,$H$19&lt;=$P$24),O70+(P70-O70)/($P$24-$O$24)*($H$19-$O$24),IF($H$19&gt;$P$24,P70,0))))))))</f>
        <v>7.6499999999999995</v>
      </c>
      <c r="K70" s="1123">
        <v>14.2</v>
      </c>
      <c r="L70" s="1123">
        <v>12.4</v>
      </c>
      <c r="M70" s="1123">
        <v>11</v>
      </c>
      <c r="N70" s="1123">
        <v>10.3</v>
      </c>
      <c r="O70" s="1123">
        <v>9</v>
      </c>
      <c r="P70" s="1124">
        <f>O70*Q70</f>
        <v>7.6499999999999995</v>
      </c>
      <c r="Q70" s="1125">
        <v>0.85</v>
      </c>
      <c r="R70" s="1134"/>
      <c r="S70" s="1134"/>
      <c r="T70" s="1134"/>
      <c r="U70" s="1134"/>
      <c r="V70" s="1134"/>
      <c r="W70" s="1134"/>
      <c r="X70" s="1134"/>
      <c r="Y70" s="1134"/>
      <c r="Z70" s="1134"/>
    </row>
    <row r="71" spans="1:26" s="533" customFormat="1" x14ac:dyDescent="0.25">
      <c r="A71" s="1138">
        <v>20</v>
      </c>
      <c r="B71" s="1139">
        <v>0.4</v>
      </c>
      <c r="C71" s="1139">
        <f t="shared" si="22"/>
        <v>9.4736842105263161E-2</v>
      </c>
      <c r="D71" s="1147">
        <f>IF(AND('2-Dati generali-Cond. utilizzo'!$C$42=2,'2-Dati generali-Cond. utilizzo'!$C$42=3),IF($B$19&gt;=$H$24,H71,IF(AND($B$19&gt;=$G$24,$B$19&lt;$H$24),H71+(G71-H71)/($G$24-$H$24)*($B$19-$H$24),IF(AND($B$19&gt;=$F$24,$B$19&lt;$G$24),G71+(F71-G71)/($F$24-$G$24)*($B$19-$G$24),IF(AND($B$19&gt;=$E$24,$B$19&lt;$F$24),F71+(E71-F71)/($E$24-$F$24)*($B$19-$F$24),IF($B$19&lt;$E$24,E71,0)))))/'1-Ore funzionamento'!$AI$7,IF($B$19&gt;=$H$24,H71,IF(AND($B$19&gt;=$G$24,$B$19&lt;$H$24),H71+(G71-H71)/($G$24-$H$24)*($B$19-$H$24),IF(AND($B$19&gt;=$F$24,$B$19&lt;$G$24),G71+(F71-G71)/($F$24-$G$24)*($B$19-$G$24),IF(AND($B$19&gt;=$E$24,$B$19&lt;$F$24),F71+(E71-F71)/($E$24-$F$24)*($B$19-$F$24),IF($B$19&lt;$E$24,E71,0))))))</f>
        <v>8.8000000000000007</v>
      </c>
      <c r="E71" s="1123">
        <v>8.8000000000000007</v>
      </c>
      <c r="F71" s="1123">
        <v>9.4</v>
      </c>
      <c r="G71" s="1123">
        <v>10.199999999999999</v>
      </c>
      <c r="H71" s="1124">
        <f t="shared" ref="H71:H73" si="24">G71*I71</f>
        <v>9.18</v>
      </c>
      <c r="I71" s="1126">
        <v>0.9</v>
      </c>
      <c r="J71" s="1122">
        <f>IF(AND('2-Dati generali-Cond. utilizzo'!$C$42=2,'2-Dati generali-Cond. utilizzo'!$C$42=3),IF($H$19&lt;=$K$24,K71,IF(AND($H$19&gt;=$K$24,$H$19&lt;=$L$24),K71+(L71-K71)/($L$24-$K$24)*($H$19-$K$24),IF(AND($H$19&gt;=$L$24,$H$19&lt;=$M$24),L71+(M71-L71)/($M$24-$L$24)*($H$19-$L$24),IF(AND($H$19&gt;=$M$24,$H$19&lt;=$N$24),M71+(N71-M71)/($N$24-$M$24)*($H$19-$M$24),IF(AND($H$19&gt;=$N$24,$H$19&lt;=$O$24),N71+(O71-N71)/($O$24-$N$24)*($H$19-$N$24),IF(AND($H$19&gt;=$O$24,$H$19&lt;=$P$24),O71+(P71-O71)/($P$24-$O$24)*($H$19-$O$24),IF($H$19&gt;$P$24,P71,0)))))))/'1-Ore funzionamento'!$AI$7,IF($H$19&lt;=$K$24,K71,IF(AND($H$19&gt;=$K$24,$H$19&lt;=$L$24),K71+(L71-K71)/($L$24-$K$24)*($H$19-$K$24),IF(AND($H$19&gt;=$L$24,$H$19&lt;=$M$24),L71+(M71-L71)/($M$24-$L$24)*($H$19-$L$24),IF(AND($H$19&gt;=$M$24,$H$19&lt;=$N$24),M71+(N71-M71)/($N$24-$M$24)*($H$19-$M$24),IF(AND($H$19&gt;=$N$24,$H$19&lt;=$O$24),N71+(O71-N71)/($O$24-$N$24)*($H$19-$N$24),IF(AND($H$19&gt;=$O$24,$H$19&lt;=$P$24),O71+(P71-O71)/($P$24-$O$24)*($H$19-$O$24),IF($H$19&gt;$P$24,P71,0))))))))</f>
        <v>9.0949999999999989</v>
      </c>
      <c r="K71" s="1123">
        <v>17.399999999999999</v>
      </c>
      <c r="L71" s="1123">
        <v>15.3</v>
      </c>
      <c r="M71" s="1123">
        <v>13.6</v>
      </c>
      <c r="N71" s="1123">
        <v>12.3</v>
      </c>
      <c r="O71" s="1123">
        <v>10.7</v>
      </c>
      <c r="P71" s="1124">
        <f t="shared" ref="P71:P73" si="25">O71*Q71</f>
        <v>9.0949999999999989</v>
      </c>
      <c r="Q71" s="1127">
        <v>0.85</v>
      </c>
      <c r="R71" s="1134"/>
      <c r="S71" s="1134"/>
      <c r="T71" s="1134"/>
      <c r="U71" s="1134"/>
      <c r="V71" s="1134"/>
      <c r="W71" s="1134"/>
      <c r="X71" s="1134"/>
      <c r="Y71" s="1134"/>
      <c r="Z71" s="1134"/>
    </row>
    <row r="72" spans="1:26" s="533" customFormat="1" x14ac:dyDescent="0.25">
      <c r="A72" s="1138">
        <v>25</v>
      </c>
      <c r="B72" s="1139">
        <v>0.4</v>
      </c>
      <c r="C72" s="1139">
        <f t="shared" si="22"/>
        <v>9.4736842105263161E-2</v>
      </c>
      <c r="D72" s="1147">
        <f>IF(AND('2-Dati generali-Cond. utilizzo'!$C$42=2,'2-Dati generali-Cond. utilizzo'!$C$42=3),IF($B$19&gt;=$H$24,H72,IF(AND($B$19&gt;=$G$24,$B$19&lt;$H$24),H72+(G72-H72)/($G$24-$H$24)*($B$19-$H$24),IF(AND($B$19&gt;=$F$24,$B$19&lt;$G$24),G72+(F72-G72)/($F$24-$G$24)*($B$19-$G$24),IF(AND($B$19&gt;=$E$24,$B$19&lt;$F$24),F72+(E72-F72)/($E$24-$F$24)*($B$19-$F$24),IF($B$19&lt;$E$24,E72,0)))))/'1-Ore funzionamento'!$AI$7,IF($B$19&gt;=$H$24,H72,IF(AND($B$19&gt;=$G$24,$B$19&lt;$H$24),H72+(G72-H72)/($G$24-$H$24)*($B$19-$H$24),IF(AND($B$19&gt;=$F$24,$B$19&lt;$G$24),G72+(F72-G72)/($F$24-$G$24)*($B$19-$G$24),IF(AND($B$19&gt;=$E$24,$B$19&lt;$F$24),F72+(E72-F72)/($E$24-$F$24)*($B$19-$F$24),IF($B$19&lt;$E$24,E72,0))))))</f>
        <v>10.6</v>
      </c>
      <c r="E72" s="1123">
        <v>10.6</v>
      </c>
      <c r="F72" s="1123">
        <v>11.4</v>
      </c>
      <c r="G72" s="1123">
        <v>12.2</v>
      </c>
      <c r="H72" s="1124">
        <f t="shared" si="24"/>
        <v>10.98</v>
      </c>
      <c r="I72" s="1126">
        <v>0.9</v>
      </c>
      <c r="J72" s="1122">
        <f>IF(AND('2-Dati generali-Cond. utilizzo'!$C$42=2,'2-Dati generali-Cond. utilizzo'!$C$42=3),IF($H$19&lt;=$K$24,K72,IF(AND($H$19&gt;=$K$24,$H$19&lt;=$L$24),K72+(L72-K72)/($L$24-$K$24)*($H$19-$K$24),IF(AND($H$19&gt;=$L$24,$H$19&lt;=$M$24),L72+(M72-L72)/($M$24-$L$24)*($H$19-$L$24),IF(AND($H$19&gt;=$M$24,$H$19&lt;=$N$24),M72+(N72-M72)/($N$24-$M$24)*($H$19-$M$24),IF(AND($H$19&gt;=$N$24,$H$19&lt;=$O$24),N72+(O72-N72)/($O$24-$N$24)*($H$19-$N$24),IF(AND($H$19&gt;=$O$24,$H$19&lt;=$P$24),O72+(P72-O72)/($P$24-$O$24)*($H$19-$O$24),IF($H$19&gt;$P$24,P72,0)))))))/'1-Ore funzionamento'!$AI$7,IF($H$19&lt;=$K$24,K72,IF(AND($H$19&gt;=$K$24,$H$19&lt;=$L$24),K72+(L72-K72)/($L$24-$K$24)*($H$19-$K$24),IF(AND($H$19&gt;=$L$24,$H$19&lt;=$M$24),L72+(M72-L72)/($M$24-$L$24)*($H$19-$L$24),IF(AND($H$19&gt;=$M$24,$H$19&lt;=$N$24),M72+(N72-M72)/($N$24-$M$24)*($H$19-$M$24),IF(AND($H$19&gt;=$N$24,$H$19&lt;=$O$24),N72+(O72-N72)/($O$24-$N$24)*($H$19-$N$24),IF(AND($H$19&gt;=$O$24,$H$19&lt;=$P$24),O72+(P72-O72)/($P$24-$O$24)*($H$19-$O$24),IF($H$19&gt;$P$24,P72,0))))))))</f>
        <v>11.475</v>
      </c>
      <c r="K72" s="1123">
        <v>18.399999999999999</v>
      </c>
      <c r="L72" s="1123">
        <v>17.8</v>
      </c>
      <c r="M72" s="1123">
        <v>17.399999999999999</v>
      </c>
      <c r="N72" s="1123">
        <v>15.6</v>
      </c>
      <c r="O72" s="1123">
        <v>13.5</v>
      </c>
      <c r="P72" s="1124">
        <f t="shared" si="25"/>
        <v>11.475</v>
      </c>
      <c r="Q72" s="1127">
        <v>0.85</v>
      </c>
      <c r="R72" s="1134"/>
      <c r="S72" s="1134"/>
      <c r="T72" s="1134"/>
      <c r="U72" s="1134"/>
      <c r="V72" s="1134"/>
      <c r="W72" s="1134"/>
      <c r="X72" s="1134"/>
      <c r="Y72" s="1134"/>
      <c r="Z72" s="1134"/>
    </row>
    <row r="73" spans="1:26" s="533" customFormat="1" ht="16.5" thickBot="1" x14ac:dyDescent="0.3">
      <c r="A73" s="1142">
        <v>30</v>
      </c>
      <c r="B73" s="1143">
        <v>0.4</v>
      </c>
      <c r="C73" s="1143">
        <f t="shared" si="22"/>
        <v>9.4736842105263161E-2</v>
      </c>
      <c r="D73" s="1147">
        <f>IF(AND('2-Dati generali-Cond. utilizzo'!$C$42=2,'2-Dati generali-Cond. utilizzo'!$C$42=3),IF($B$19&gt;=$H$24,H73,IF(AND($B$19&gt;=$G$24,$B$19&lt;$H$24),H73+(G73-H73)/($G$24-$H$24)*($B$19-$H$24),IF(AND($B$19&gt;=$F$24,$B$19&lt;$G$24),G73+(F73-G73)/($F$24-$G$24)*($B$19-$G$24),IF(AND($B$19&gt;=$E$24,$B$19&lt;$F$24),F73+(E73-F73)/($E$24-$F$24)*($B$19-$F$24),IF($B$19&lt;$E$24,E73,0)))))/'1-Ore funzionamento'!$AI$7,IF($B$19&gt;=$H$24,H73,IF(AND($B$19&gt;=$G$24,$B$19&lt;$H$24),H73+(G73-H73)/($G$24-$H$24)*($B$19-$H$24),IF(AND($B$19&gt;=$F$24,$B$19&lt;$G$24),G73+(F73-G73)/($F$24-$G$24)*($B$19-$G$24),IF(AND($B$19&gt;=$E$24,$B$19&lt;$F$24),F73+(E73-F73)/($E$24-$F$24)*($B$19-$F$24),IF($B$19&lt;$E$24,E73,0))))))</f>
        <v>13.5</v>
      </c>
      <c r="E73" s="1130">
        <v>13.5</v>
      </c>
      <c r="F73" s="1130">
        <v>14.6</v>
      </c>
      <c r="G73" s="1130">
        <v>15.8</v>
      </c>
      <c r="H73" s="1131">
        <f t="shared" si="24"/>
        <v>14.22</v>
      </c>
      <c r="I73" s="1126">
        <v>0.9</v>
      </c>
      <c r="J73" s="1129">
        <f>IF(AND('2-Dati generali-Cond. utilizzo'!$C$42=2,'2-Dati generali-Cond. utilizzo'!$C$42=3),IF($H$19&lt;=$K$24,K73,IF(AND($H$19&gt;=$K$24,$H$19&lt;=$L$24),K73+(L73-K73)/($L$24-$K$24)*($H$19-$K$24),IF(AND($H$19&gt;=$L$24,$H$19&lt;=$M$24),L73+(M73-L73)/($M$24-$L$24)*($H$19-$L$24),IF(AND($H$19&gt;=$M$24,$H$19&lt;=$N$24),M73+(N73-M73)/($N$24-$M$24)*($H$19-$M$24),IF(AND($H$19&gt;=$N$24,$H$19&lt;=$O$24),N73+(O73-N73)/($O$24-$N$24)*($H$19-$N$24),IF(AND($H$19&gt;=$O$24,$H$19&lt;=$P$24),O73+(P73-O73)/($P$24-$O$24)*($H$19-$O$24),IF($H$19&gt;$P$24,P73,0)))))))/'1-Ore funzionamento'!$AI$7,IF($H$19&lt;=$K$24,K73,IF(AND($H$19&gt;=$K$24,$H$19&lt;=$L$24),K73+(L73-K73)/($L$24-$K$24)*($H$19-$K$24),IF(AND($H$19&gt;=$L$24,$H$19&lt;=$M$24),L73+(M73-L73)/($M$24-$L$24)*($H$19-$L$24),IF(AND($H$19&gt;=$M$24,$H$19&lt;=$N$24),M73+(N73-M73)/($N$24-$M$24)*($H$19-$M$24),IF(AND($H$19&gt;=$N$24,$H$19&lt;=$O$24),N73+(O73-N73)/($O$24-$N$24)*($H$19-$N$24),IF(AND($H$19&gt;=$O$24,$H$19&lt;=$P$24),O73+(P73-O73)/($P$24-$O$24)*($H$19-$O$24),IF($H$19&gt;$P$24,P73,0))))))))</f>
        <v>13.09</v>
      </c>
      <c r="K73" s="1130">
        <v>23.6</v>
      </c>
      <c r="L73" s="1130">
        <v>21.9</v>
      </c>
      <c r="M73" s="1130">
        <v>20.6</v>
      </c>
      <c r="N73" s="1130">
        <v>18</v>
      </c>
      <c r="O73" s="1130">
        <v>15.4</v>
      </c>
      <c r="P73" s="1131">
        <f t="shared" si="25"/>
        <v>13.09</v>
      </c>
      <c r="Q73" s="1125">
        <v>0.85</v>
      </c>
      <c r="R73" s="1134"/>
      <c r="S73" s="1134"/>
      <c r="T73" s="1134"/>
      <c r="U73" s="1134"/>
      <c r="V73" s="1134"/>
      <c r="W73" s="1134"/>
      <c r="X73" s="1134"/>
      <c r="Y73" s="1134"/>
      <c r="Z73" s="1134"/>
    </row>
    <row r="74" spans="1:26" s="533" customFormat="1" x14ac:dyDescent="0.25">
      <c r="A74" s="1132">
        <v>8</v>
      </c>
      <c r="B74" s="1133">
        <v>0.3</v>
      </c>
      <c r="C74" s="1133">
        <f>'1-Ore funzionamento'!AF14</f>
        <v>4.2105263157894743E-2</v>
      </c>
      <c r="D74" s="1147">
        <f>IF(AND('2-Dati generali-Cond. utilizzo'!$C$42=2,'2-Dati generali-Cond. utilizzo'!$C$42=3),IF($B$20&gt;=$H$24,H74,IF(AND($B$20&gt;=$G$24,$B$20&lt;$H$24),H74+(G74-H74)/($G$24-$H$24)*($B$20-$H$24),IF(AND($B$20&gt;=$F$24,$B$20&lt;$G$24),G74+(F74-G74)/($F$24-$G$24)*($B$20-$G$24),IF(AND($B$20&gt;=$E$24,$B$20&lt;$F$24),F74+(E74-F74)/($E$24-$F$24)*($B$20-$F$24),IF($B$20&lt;$E$24,E74,0)))))/'1-Ore funzionamento'!$AI$7,IF($B$20&gt;=$H$24,H74,IF(AND($B$20&gt;=$G$24,$B$20&lt;$H$24),H74+(G74-H74)/($G$24-$H$24)*($B$20-$H$24),IF(AND($B$20&gt;=$F$24,$B$20&lt;$G$24),G74+(F74-G74)/($F$24-$G$24)*($B$20-$G$24),IF(AND($B$20&gt;=$E$24,$B$20&lt;$F$24),F74+(E74-F74)/($E$24-$F$24)*($B$20-$F$24),IF($B$20&lt;$E$24,E74,0))))))</f>
        <v>3.9599999999999995</v>
      </c>
      <c r="E74" s="1135">
        <f t="shared" ref="E74:H76" si="26">0.6*E60</f>
        <v>3.9599999999999995</v>
      </c>
      <c r="F74" s="1135">
        <f t="shared" si="26"/>
        <v>4.32</v>
      </c>
      <c r="G74" s="1135">
        <f t="shared" si="26"/>
        <v>4.74</v>
      </c>
      <c r="H74" s="1136">
        <f t="shared" si="26"/>
        <v>5.1599999999999993</v>
      </c>
      <c r="I74" s="1134"/>
      <c r="J74" s="1120">
        <f>IF(AND('2-Dati generali-Cond. utilizzo'!$C$42=2,'2-Dati generali-Cond. utilizzo'!$C$42=3),IF($H$20&lt;=$K$24,K74,IF(AND($H$20&gt;=$K$24,$H$20&lt;=$L$24),K74+(L74-K74)/($L$24-$K$24)*($H$20-$K$24),IF(AND($H$20&gt;=$L$24,$H$20&lt;=$M$24),L74+(M74-L74)/($M$24-$L$24)*($H$20-$L$24),IF(AND($H$20&gt;=$M$24,$H$20&lt;=$N$24),M74+(N74-M74)/($N$24-$M$24)*($H$20-$M$24),IF(AND($H$20&gt;=$N$24,$H$20&lt;=$O$24),N74+(O74-N74)/($O$24-$N$24)*($H$20-$N$24),IF(AND($H$20&gt;=$O$24,$H$20&lt;=$P$24),O74+(P74-O74)/($P$24-$O$24)*($H$20-$O$24),IF($H$20&gt;$P$24,P74,0)))))))/'1-Ore funzionamento'!$AI$7,IF($H$20&lt;=$K$24,K74,IF(AND($H$20&gt;=$K$24,$H$20&lt;=$L$24),K74+(L74-K74)/($L$24-$K$24)*($H$20-$K$24),IF(AND($H$20&gt;=$L$24,$H$20&lt;=$M$24),L74+(M74-L74)/($M$24-$L$24)*($H$20-$L$24),IF(AND($H$20&gt;=$M$24,$H$20&lt;=$N$24),M74+(N74-M74)/($N$24-$M$24)*($H$20-$M$24),IF(AND($H$20&gt;=$N$24,$H$20&lt;=$O$24),N74+(O74-N74)/($O$24-$N$24)*($H$20-$N$24),IF(AND($H$20&gt;=$O$24,$H$20&lt;=$P$24),O74+(P74-O74)/($P$24-$O$24)*($H$20-$O$24),IF($H$20&gt;$P$24,P74,0))))))))</f>
        <v>5.0999999999999996</v>
      </c>
      <c r="K74" s="1135">
        <f t="shared" ref="K74:P74" si="27">0.6*K60</f>
        <v>10.458</v>
      </c>
      <c r="L74" s="1135">
        <f t="shared" si="27"/>
        <v>9.4919999999999991</v>
      </c>
      <c r="M74" s="1135">
        <f t="shared" si="27"/>
        <v>8.1059999999999999</v>
      </c>
      <c r="N74" s="1135">
        <f t="shared" si="27"/>
        <v>5.94</v>
      </c>
      <c r="O74" s="1135">
        <f t="shared" si="27"/>
        <v>5.76</v>
      </c>
      <c r="P74" s="1136">
        <f t="shared" si="27"/>
        <v>5.0999999999999996</v>
      </c>
      <c r="Q74" s="1137"/>
      <c r="R74" s="1134"/>
      <c r="S74" s="1134"/>
      <c r="T74" s="1134"/>
      <c r="U74" s="1134"/>
      <c r="V74" s="1134"/>
      <c r="W74" s="1134"/>
      <c r="X74" s="1134"/>
      <c r="Y74" s="1134"/>
      <c r="Z74" s="1134"/>
    </row>
    <row r="75" spans="1:26" s="533" customFormat="1" x14ac:dyDescent="0.25">
      <c r="A75" s="1138">
        <v>10</v>
      </c>
      <c r="B75" s="1139">
        <v>0.3</v>
      </c>
      <c r="C75" s="1139">
        <f t="shared" ref="C75:C80" si="28">$C$74</f>
        <v>4.2105263157894743E-2</v>
      </c>
      <c r="D75" s="1147">
        <f>IF(AND('2-Dati generali-Cond. utilizzo'!$C$42=2,'2-Dati generali-Cond. utilizzo'!$C$42=3),IF($B$20&gt;=$H$24,H75,IF(AND($B$20&gt;=$G$24,$B$20&lt;$H$24),H75+(G75-H75)/($G$24-$H$24)*($B$20-$H$24),IF(AND($B$20&gt;=$F$24,$B$20&lt;$G$24),G75+(F75-G75)/($F$24-$G$24)*($B$20-$G$24),IF(AND($B$20&gt;=$E$24,$B$20&lt;$F$24),F75+(E75-F75)/($E$24-$F$24)*($B$20-$F$24),IF($B$20&lt;$E$24,E75,0)))))/'1-Ore funzionamento'!$AI$7,IF($B$20&gt;=$H$24,H75,IF(AND($B$20&gt;=$G$24,$B$20&lt;$H$24),H75+(G75-H75)/($G$24-$H$24)*($B$20-$H$24),IF(AND($B$20&gt;=$F$24,$B$20&lt;$G$24),G75+(F75-G75)/($F$24-$G$24)*($B$20-$G$24),IF(AND($B$20&gt;=$E$24,$B$20&lt;$F$24),F75+(E75-F75)/($E$24-$F$24)*($B$20-$F$24),IF($B$20&lt;$E$24,E75,0))))))</f>
        <v>4.0199999999999996</v>
      </c>
      <c r="E75" s="1140">
        <f t="shared" si="26"/>
        <v>4.0199999999999996</v>
      </c>
      <c r="F75" s="1140">
        <f t="shared" si="26"/>
        <v>4.38</v>
      </c>
      <c r="G75" s="1140">
        <f t="shared" si="26"/>
        <v>4.8</v>
      </c>
      <c r="H75" s="1141">
        <f t="shared" si="26"/>
        <v>5.22</v>
      </c>
      <c r="I75" s="1134"/>
      <c r="J75" s="1122">
        <f>IF(AND('2-Dati generali-Cond. utilizzo'!$C$42=2,'2-Dati generali-Cond. utilizzo'!$C$42=3),IF($H$20&lt;=$K$24,K75,IF(AND($H$20&gt;=$K$24,$H$20&lt;=$L$24),K75+(L75-K75)/($L$24-$K$24)*($H$20-$K$24),IF(AND($H$20&gt;=$L$24,$H$20&lt;=$M$24),L75+(M75-L75)/($M$24-$L$24)*($H$20-$L$24),IF(AND($H$20&gt;=$M$24,$H$20&lt;=$N$24),M75+(N75-M75)/($N$24-$M$24)*($H$20-$M$24),IF(AND($H$20&gt;=$N$24,$H$20&lt;=$O$24),N75+(O75-N75)/($O$24-$N$24)*($H$20-$N$24),IF(AND($H$20&gt;=$O$24,$H$20&lt;=$P$24),O75+(P75-O75)/($P$24-$O$24)*($H$20-$O$24),IF($H$20&gt;$P$24,P75,0)))))))/'1-Ore funzionamento'!$AI$7,IF($H$20&lt;=$K$24,K75,IF(AND($H$20&gt;=$K$24,$H$20&lt;=$L$24),K75+(L75-K75)/($L$24-$K$24)*($H$20-$K$24),IF(AND($H$20&gt;=$L$24,$H$20&lt;=$M$24),L75+(M75-L75)/($M$24-$L$24)*($H$20-$L$24),IF(AND($H$20&gt;=$M$24,$H$20&lt;=$N$24),M75+(N75-M75)/($N$24-$M$24)*($H$20-$M$24),IF(AND($H$20&gt;=$N$24,$H$20&lt;=$O$24),N75+(O75-N75)/($O$24-$N$24)*($H$20-$N$24),IF(AND($H$20&gt;=$O$24,$H$20&lt;=$P$24),O75+(P75-O75)/($P$24-$O$24)*($H$20-$O$24),IF($H$20&gt;$P$24,P75,0))))))))</f>
        <v>5.88</v>
      </c>
      <c r="K75" s="1140">
        <f t="shared" ref="K75:P76" si="29">0.6*K61</f>
        <v>11.357999999999999</v>
      </c>
      <c r="L75" s="1140">
        <f t="shared" si="29"/>
        <v>9.6479999999999979</v>
      </c>
      <c r="M75" s="1140">
        <f t="shared" si="29"/>
        <v>8.3699999999999992</v>
      </c>
      <c r="N75" s="1140">
        <f t="shared" si="29"/>
        <v>6.1800000000000006</v>
      </c>
      <c r="O75" s="1140">
        <f t="shared" si="29"/>
        <v>5.88</v>
      </c>
      <c r="P75" s="1141">
        <f t="shared" si="29"/>
        <v>5.88</v>
      </c>
      <c r="Q75" s="1137"/>
      <c r="R75" s="1134"/>
      <c r="S75" s="1134"/>
      <c r="T75" s="1134"/>
      <c r="U75" s="1134"/>
      <c r="V75" s="1134"/>
      <c r="W75" s="1134"/>
      <c r="X75" s="1134"/>
      <c r="Y75" s="1134"/>
      <c r="Z75" s="1134"/>
    </row>
    <row r="76" spans="1:26" s="533" customFormat="1" x14ac:dyDescent="0.25">
      <c r="A76" s="1138">
        <v>13</v>
      </c>
      <c r="B76" s="1139">
        <v>0.3</v>
      </c>
      <c r="C76" s="1139">
        <f t="shared" si="28"/>
        <v>4.2105263157894743E-2</v>
      </c>
      <c r="D76" s="1147">
        <f>IF(AND('2-Dati generali-Cond. utilizzo'!$C$42=2,'2-Dati generali-Cond. utilizzo'!$C$42=3),IF($B$20&gt;=$H$24,H76,IF(AND($B$20&gt;=$G$24,$B$20&lt;$H$24),H76+(G76-H76)/($G$24-$H$24)*($B$20-$H$24),IF(AND($B$20&gt;=$F$24,$B$20&lt;$G$24),G76+(F76-G76)/($F$24-$G$24)*($B$20-$G$24),IF(AND($B$20&gt;=$E$24,$B$20&lt;$F$24),F76+(E76-F76)/($E$24-$F$24)*($B$20-$F$24),IF($B$20&lt;$E$24,E76,0)))))/'1-Ore funzionamento'!$AI$7,IF($B$20&gt;=$H$24,H76,IF(AND($B$20&gt;=$G$24,$B$20&lt;$H$24),H76+(G76-H76)/($G$24-$H$24)*($B$20-$H$24),IF(AND($B$20&gt;=$F$24,$B$20&lt;$G$24),G76+(F76-G76)/($F$24-$G$24)*($B$20-$G$24),IF(AND($B$20&gt;=$E$24,$B$20&lt;$F$24),F76+(E76-F76)/($E$24-$F$24)*($B$20-$F$24),IF($B$20&lt;$E$24,E76,0))))))</f>
        <v>4.9800000000000004</v>
      </c>
      <c r="E76" s="1140">
        <f t="shared" si="26"/>
        <v>4.9800000000000004</v>
      </c>
      <c r="F76" s="1140">
        <f t="shared" si="26"/>
        <v>5.3999999999999995</v>
      </c>
      <c r="G76" s="1140">
        <f t="shared" si="26"/>
        <v>5.94</v>
      </c>
      <c r="H76" s="1141">
        <f t="shared" si="26"/>
        <v>6.48</v>
      </c>
      <c r="I76" s="1134"/>
      <c r="J76" s="1122">
        <f>IF(AND('2-Dati generali-Cond. utilizzo'!$C$42=2,'2-Dati generali-Cond. utilizzo'!$C$42=3),IF($H$20&lt;=$K$24,K76,IF(AND($H$20&gt;=$K$24,$H$20&lt;=$L$24),K76+(L76-K76)/($L$24-$K$24)*($H$20-$K$24),IF(AND($H$20&gt;=$L$24,$H$20&lt;=$M$24),L76+(M76-L76)/($M$24-$L$24)*($H$20-$L$24),IF(AND($H$20&gt;=$M$24,$H$20&lt;=$N$24),M76+(N76-M76)/($N$24-$M$24)*($H$20-$M$24),IF(AND($H$20&gt;=$N$24,$H$20&lt;=$O$24),N76+(O76-N76)/($O$24-$N$24)*($H$20-$N$24),IF(AND($H$20&gt;=$O$24,$H$20&lt;=$P$24),O76+(P76-O76)/($P$24-$O$24)*($H$20-$O$24),IF($H$20&gt;$P$24,P76,0)))))))/'1-Ore funzionamento'!$AI$7,IF($H$20&lt;=$K$24,K76,IF(AND($H$20&gt;=$K$24,$H$20&lt;=$L$24),K76+(L76-K76)/($L$24-$K$24)*($H$20-$K$24),IF(AND($H$20&gt;=$L$24,$H$20&lt;=$M$24),L76+(M76-L76)/($M$24-$L$24)*($H$20-$L$24),IF(AND($H$20&gt;=$M$24,$H$20&lt;=$N$24),M76+(N76-M76)/($N$24-$M$24)*($H$20-$M$24),IF(AND($H$20&gt;=$N$24,$H$20&lt;=$O$24),N76+(O76-N76)/($O$24-$N$24)*($H$20-$N$24),IF(AND($H$20&gt;=$O$24,$H$20&lt;=$P$24),O76+(P76-O76)/($P$24-$O$24)*($H$20-$O$24),IF($H$20&gt;$P$24,P76,0))))))))</f>
        <v>5.28</v>
      </c>
      <c r="K76" s="1140">
        <f t="shared" si="29"/>
        <v>9.1020000000000003</v>
      </c>
      <c r="L76" s="1140">
        <f t="shared" si="29"/>
        <v>9.3840000000000003</v>
      </c>
      <c r="M76" s="1140">
        <f t="shared" si="29"/>
        <v>9.516</v>
      </c>
      <c r="N76" s="1140">
        <f t="shared" si="29"/>
        <v>7.02</v>
      </c>
      <c r="O76" s="1140">
        <f t="shared" si="29"/>
        <v>5.88</v>
      </c>
      <c r="P76" s="1141">
        <f t="shared" si="29"/>
        <v>5.28</v>
      </c>
      <c r="Q76" s="1137"/>
      <c r="R76" s="1134"/>
      <c r="S76" s="1134"/>
      <c r="T76" s="1134"/>
      <c r="U76" s="1134"/>
      <c r="V76" s="1134"/>
      <c r="W76" s="1134"/>
      <c r="X76" s="1134"/>
      <c r="Y76" s="1134"/>
      <c r="Z76" s="1134"/>
    </row>
    <row r="77" spans="1:26" s="533" customFormat="1" x14ac:dyDescent="0.25">
      <c r="A77" s="1138">
        <v>16</v>
      </c>
      <c r="B77" s="1139">
        <v>0.3</v>
      </c>
      <c r="C77" s="1139">
        <f t="shared" si="28"/>
        <v>4.2105263157894743E-2</v>
      </c>
      <c r="D77" s="1147">
        <f>IF(AND('2-Dati generali-Cond. utilizzo'!$C$42=2,'2-Dati generali-Cond. utilizzo'!$C$42=3),IF($B$20&gt;=$H$24,H77,IF(AND($B$20&gt;=$G$24,$B$20&lt;$H$24),H77+(G77-H77)/($G$24-$H$24)*($B$20-$H$24),IF(AND($B$20&gt;=$F$24,$B$20&lt;$G$24),G77+(F77-G77)/($F$24-$G$24)*($B$20-$G$24),IF(AND($B$20&gt;=$E$24,$B$20&lt;$F$24),F77+(E77-F77)/($E$24-$F$24)*($B$20-$F$24),IF($B$20&lt;$E$24,E77,0)))))/'1-Ore funzionamento'!$AI$7,IF($B$20&gt;=$H$24,H77,IF(AND($B$20&gt;=$G$24,$B$20&lt;$H$24),H77+(G77-H77)/($G$24-$H$24)*($B$20-$H$24),IF(AND($B$20&gt;=$F$24,$B$20&lt;$G$24),G77+(F77-G77)/($F$24-$G$24)*($B$20-$G$24),IF(AND($B$20&gt;=$E$24,$B$20&lt;$F$24),F77+(E77-F77)/($E$24-$F$24)*($B$20-$F$24),IF($B$20&lt;$E$24,E77,0))))))</f>
        <v>6.5</v>
      </c>
      <c r="E77" s="1123">
        <v>6.5</v>
      </c>
      <c r="F77" s="1123">
        <v>7</v>
      </c>
      <c r="G77" s="1123">
        <v>7.6</v>
      </c>
      <c r="H77" s="1124">
        <f>G77*I77</f>
        <v>6.84</v>
      </c>
      <c r="I77" s="1125">
        <v>0.9</v>
      </c>
      <c r="J77" s="1122">
        <f>IF(AND('2-Dati generali-Cond. utilizzo'!$C$42=2,'2-Dati generali-Cond. utilizzo'!$C$42=3),IF($H$20&lt;=$K$24,K77,IF(AND($H$20&gt;=$K$24,$H$20&lt;=$L$24),K77+(L77-K77)/($L$24-$K$24)*($H$20-$K$24),IF(AND($H$20&gt;=$L$24,$H$20&lt;=$M$24),L77+(M77-L77)/($M$24-$L$24)*($H$20-$L$24),IF(AND($H$20&gt;=$M$24,$H$20&lt;=$N$24),M77+(N77-M77)/($N$24-$M$24)*($H$20-$M$24),IF(AND($H$20&gt;=$N$24,$H$20&lt;=$O$24),N77+(O77-N77)/($O$24-$N$24)*($H$20-$N$24),IF(AND($H$20&gt;=$O$24,$H$20&lt;=$P$24),O77+(P77-O77)/($P$24-$O$24)*($H$20-$O$24),IF($H$20&gt;$P$24,P77,0)))))))/'1-Ore funzionamento'!$AI$7,IF($H$20&lt;=$K$24,K77,IF(AND($H$20&gt;=$K$24,$H$20&lt;=$L$24),K77+(L77-K77)/($L$24-$K$24)*($H$20-$K$24),IF(AND($H$20&gt;=$L$24,$H$20&lt;=$M$24),L77+(M77-L77)/($M$24-$L$24)*($H$20-$L$24),IF(AND($H$20&gt;=$M$24,$H$20&lt;=$N$24),M77+(N77-M77)/($N$24-$M$24)*($H$20-$M$24),IF(AND($H$20&gt;=$N$24,$H$20&lt;=$O$24),N77+(O77-N77)/($O$24-$N$24)*($H$20-$N$24),IF(AND($H$20&gt;=$O$24,$H$20&lt;=$P$24),O77+(P77-O77)/($P$24-$O$24)*($H$20-$O$24),IF($H$20&gt;$P$24,P77,0))))))))</f>
        <v>6.46</v>
      </c>
      <c r="K77" s="1123">
        <v>10.4</v>
      </c>
      <c r="L77" s="1123">
        <v>9.1999999999999993</v>
      </c>
      <c r="M77" s="1123">
        <v>8.1999999999999993</v>
      </c>
      <c r="N77" s="1123">
        <v>8.6</v>
      </c>
      <c r="O77" s="1123">
        <v>7.6</v>
      </c>
      <c r="P77" s="1124">
        <f>O77*Q77</f>
        <v>6.46</v>
      </c>
      <c r="Q77" s="1125">
        <v>0.85</v>
      </c>
      <c r="R77" s="1134"/>
      <c r="S77" s="1134"/>
      <c r="T77" s="1134"/>
      <c r="U77" s="1134"/>
      <c r="V77" s="1134"/>
      <c r="W77" s="1134"/>
      <c r="X77" s="1134"/>
      <c r="Y77" s="1134"/>
      <c r="Z77" s="1134"/>
    </row>
    <row r="78" spans="1:26" s="533" customFormat="1" x14ac:dyDescent="0.25">
      <c r="A78" s="1138">
        <v>20</v>
      </c>
      <c r="B78" s="1139">
        <v>0.3</v>
      </c>
      <c r="C78" s="1139">
        <f t="shared" si="28"/>
        <v>4.2105263157894743E-2</v>
      </c>
      <c r="D78" s="1147">
        <f>IF(AND('2-Dati generali-Cond. utilizzo'!$C$42=2,'2-Dati generali-Cond. utilizzo'!$C$42=3),IF($B$20&gt;=$H$24,H78,IF(AND($B$20&gt;=$G$24,$B$20&lt;$H$24),H78+(G78-H78)/($G$24-$H$24)*($B$20-$H$24),IF(AND($B$20&gt;=$F$24,$B$20&lt;$G$24),G78+(F78-G78)/($F$24-$G$24)*($B$20-$G$24),IF(AND($B$20&gt;=$E$24,$B$20&lt;$F$24),F78+(E78-F78)/($E$24-$F$24)*($B$20-$F$24),IF($B$20&lt;$E$24,E78,0)))))/'1-Ore funzionamento'!$AI$7,IF($B$20&gt;=$H$24,H78,IF(AND($B$20&gt;=$G$24,$B$20&lt;$H$24),H78+(G78-H78)/($G$24-$H$24)*($B$20-$H$24),IF(AND($B$20&gt;=$F$24,$B$20&lt;$G$24),G78+(F78-G78)/($F$24-$G$24)*($B$20-$G$24),IF(AND($B$20&gt;=$E$24,$B$20&lt;$F$24),F78+(E78-F78)/($E$24-$F$24)*($B$20-$F$24),IF($B$20&lt;$E$24,E78,0))))))</f>
        <v>7.5</v>
      </c>
      <c r="E78" s="1123">
        <v>7.5</v>
      </c>
      <c r="F78" s="1123">
        <v>8.1</v>
      </c>
      <c r="G78" s="1123">
        <v>8.6999999999999993</v>
      </c>
      <c r="H78" s="1124">
        <f t="shared" ref="H78:H80" si="30">G78*I78</f>
        <v>7.8299999999999992</v>
      </c>
      <c r="I78" s="1126">
        <v>0.9</v>
      </c>
      <c r="J78" s="1122">
        <f>IF(AND('2-Dati generali-Cond. utilizzo'!$C$42=2,'2-Dati generali-Cond. utilizzo'!$C$42=3),IF($H$20&lt;=$K$24,K78,IF(AND($H$20&gt;=$K$24,$H$20&lt;=$L$24),K78+(L78-K78)/($L$24-$K$24)*($H$20-$K$24),IF(AND($H$20&gt;=$L$24,$H$20&lt;=$M$24),L78+(M78-L78)/($M$24-$L$24)*($H$20-$L$24),IF(AND($H$20&gt;=$M$24,$H$20&lt;=$N$24),M78+(N78-M78)/($N$24-$M$24)*($H$20-$M$24),IF(AND($H$20&gt;=$N$24,$H$20&lt;=$O$24),N78+(O78-N78)/($O$24-$N$24)*($H$20-$N$24),IF(AND($H$20&gt;=$O$24,$H$20&lt;=$P$24),O78+(P78-O78)/($P$24-$O$24)*($H$20-$O$24),IF($H$20&gt;$P$24,P78,0)))))))/'1-Ore funzionamento'!$AI$7,IF($H$20&lt;=$K$24,K78,IF(AND($H$20&gt;=$K$24,$H$20&lt;=$L$24),K78+(L78-K78)/($L$24-$K$24)*($H$20-$K$24),IF(AND($H$20&gt;=$L$24,$H$20&lt;=$M$24),L78+(M78-L78)/($M$24-$L$24)*($H$20-$L$24),IF(AND($H$20&gt;=$M$24,$H$20&lt;=$N$24),M78+(N78-M78)/($N$24-$M$24)*($H$20-$M$24),IF(AND($H$20&gt;=$N$24,$H$20&lt;=$O$24),N78+(O78-N78)/($O$24-$N$24)*($H$20-$N$24),IF(AND($H$20&gt;=$O$24,$H$20&lt;=$P$24),O78+(P78-O78)/($P$24-$O$24)*($H$20-$O$24),IF($H$20&gt;$P$24,P78,0))))))))</f>
        <v>7.0550000000000006</v>
      </c>
      <c r="K78" s="1123">
        <v>12.4</v>
      </c>
      <c r="L78" s="1123">
        <v>10.9</v>
      </c>
      <c r="M78" s="1123">
        <v>9.6999999999999993</v>
      </c>
      <c r="N78" s="1123">
        <v>9.5</v>
      </c>
      <c r="O78" s="1123">
        <v>8.3000000000000007</v>
      </c>
      <c r="P78" s="1124">
        <f t="shared" ref="P78:P80" si="31">O78*Q78</f>
        <v>7.0550000000000006</v>
      </c>
      <c r="Q78" s="1127">
        <v>0.85</v>
      </c>
      <c r="R78" s="1134"/>
      <c r="S78" s="1134"/>
      <c r="T78" s="1134"/>
      <c r="U78" s="1134"/>
      <c r="V78" s="1134"/>
      <c r="W78" s="1134"/>
      <c r="X78" s="1134"/>
      <c r="Y78" s="1134"/>
      <c r="Z78" s="1134"/>
    </row>
    <row r="79" spans="1:26" s="533" customFormat="1" x14ac:dyDescent="0.25">
      <c r="A79" s="1138">
        <v>25</v>
      </c>
      <c r="B79" s="1139">
        <v>0.3</v>
      </c>
      <c r="C79" s="1139">
        <f t="shared" si="28"/>
        <v>4.2105263157894743E-2</v>
      </c>
      <c r="D79" s="1147">
        <f>IF(AND('2-Dati generali-Cond. utilizzo'!$C$42=2,'2-Dati generali-Cond. utilizzo'!$C$42=3),IF($B$20&gt;=$H$24,H79,IF(AND($B$20&gt;=$G$24,$B$20&lt;$H$24),H79+(G79-H79)/($G$24-$H$24)*($B$20-$H$24),IF(AND($B$20&gt;=$F$24,$B$20&lt;$G$24),G79+(F79-G79)/($F$24-$G$24)*($B$20-$G$24),IF(AND($B$20&gt;=$E$24,$B$20&lt;$F$24),F79+(E79-F79)/($E$24-$F$24)*($B$20-$F$24),IF($B$20&lt;$E$24,E79,0)))))/'1-Ore funzionamento'!$AI$7,IF($B$20&gt;=$H$24,H79,IF(AND($B$20&gt;=$G$24,$B$20&lt;$H$24),H79+(G79-H79)/($G$24-$H$24)*($B$20-$H$24),IF(AND($B$20&gt;=$F$24,$B$20&lt;$G$24),G79+(F79-G79)/($F$24-$G$24)*($B$20-$G$24),IF(AND($B$20&gt;=$E$24,$B$20&lt;$F$24),F79+(E79-F79)/($E$24-$F$24)*($B$20-$F$24),IF($B$20&lt;$E$24,E79,0))))))</f>
        <v>7.4</v>
      </c>
      <c r="E79" s="1123">
        <v>7.4</v>
      </c>
      <c r="F79" s="1123">
        <v>8</v>
      </c>
      <c r="G79" s="1123">
        <v>8.6</v>
      </c>
      <c r="H79" s="1124">
        <f t="shared" si="30"/>
        <v>7.74</v>
      </c>
      <c r="I79" s="1126">
        <v>0.9</v>
      </c>
      <c r="J79" s="1122">
        <f>IF(AND('2-Dati generali-Cond. utilizzo'!$C$42=2,'2-Dati generali-Cond. utilizzo'!$C$42=3),IF($H$20&lt;=$K$24,K79,IF(AND($H$20&gt;=$K$24,$H$20&lt;=$L$24),K79+(L79-K79)/($L$24-$K$24)*($H$20-$K$24),IF(AND($H$20&gt;=$L$24,$H$20&lt;=$M$24),L79+(M79-L79)/($M$24-$L$24)*($H$20-$L$24),IF(AND($H$20&gt;=$M$24,$H$20&lt;=$N$24),M79+(N79-M79)/($N$24-$M$24)*($H$20-$M$24),IF(AND($H$20&gt;=$N$24,$H$20&lt;=$O$24),N79+(O79-N79)/($O$24-$N$24)*($H$20-$N$24),IF(AND($H$20&gt;=$O$24,$H$20&lt;=$P$24),O79+(P79-O79)/($P$24-$O$24)*($H$20-$O$24),IF($H$20&gt;$P$24,P79,0)))))))/'1-Ore funzionamento'!$AI$7,IF($H$20&lt;=$K$24,K79,IF(AND($H$20&gt;=$K$24,$H$20&lt;=$L$24),K79+(L79-K79)/($L$24-$K$24)*($H$20-$K$24),IF(AND($H$20&gt;=$L$24,$H$20&lt;=$M$24),L79+(M79-L79)/($M$24-$L$24)*($H$20-$L$24),IF(AND($H$20&gt;=$M$24,$H$20&lt;=$N$24),M79+(N79-M79)/($N$24-$M$24)*($H$20-$M$24),IF(AND($H$20&gt;=$N$24,$H$20&lt;=$O$24),N79+(O79-N79)/($O$24-$N$24)*($H$20-$N$24),IF(AND($H$20&gt;=$O$24,$H$20&lt;=$P$24),O79+(P79-O79)/($P$24-$O$24)*($H$20-$O$24),IF($H$20&gt;$P$24,P79,0))))))))</f>
        <v>8.16</v>
      </c>
      <c r="K79" s="1123">
        <v>13.1</v>
      </c>
      <c r="L79" s="1123">
        <v>12.7</v>
      </c>
      <c r="M79" s="1123">
        <v>12.3</v>
      </c>
      <c r="N79" s="1123">
        <v>11.2</v>
      </c>
      <c r="O79" s="1123">
        <v>9.6</v>
      </c>
      <c r="P79" s="1124">
        <f t="shared" si="31"/>
        <v>8.16</v>
      </c>
      <c r="Q79" s="1127">
        <v>0.85</v>
      </c>
      <c r="R79" s="1134"/>
      <c r="S79" s="1134"/>
      <c r="T79" s="1134"/>
      <c r="U79" s="1134"/>
      <c r="V79" s="1134"/>
      <c r="W79" s="1134"/>
      <c r="X79" s="1134"/>
      <c r="Y79" s="1134"/>
      <c r="Z79" s="1134"/>
    </row>
    <row r="80" spans="1:26" s="674" customFormat="1" ht="16.5" thickBot="1" x14ac:dyDescent="0.3">
      <c r="A80" s="1144">
        <v>30</v>
      </c>
      <c r="B80" s="1145">
        <v>30</v>
      </c>
      <c r="C80" s="1143">
        <f t="shared" si="28"/>
        <v>4.2105263157894743E-2</v>
      </c>
      <c r="D80" s="1147">
        <f>IF(AND('2-Dati generali-Cond. utilizzo'!$C$42=2,'2-Dati generali-Cond. utilizzo'!$C$42=3),IF($B$20&gt;=$H$24,H80,IF(AND($B$20&gt;=$G$24,$B$20&lt;$H$24),H80+(G80-H80)/($G$24-$H$24)*($B$20-$H$24),IF(AND($B$20&gt;=$F$24,$B$20&lt;$G$24),G80+(F80-G80)/($F$24-$G$24)*($B$20-$G$24),IF(AND($B$20&gt;=$E$24,$B$20&lt;$F$24),F80+(E80-F80)/($E$24-$F$24)*($B$20-$F$24),IF($B$20&lt;$E$24,E80,0)))))/'1-Ore funzionamento'!$AI$7,IF($B$20&gt;=$H$24,H80,IF(AND($B$20&gt;=$G$24,$B$20&lt;$H$24),H80+(G80-H80)/($G$24-$H$24)*($B$20-$H$24),IF(AND($B$20&gt;=$F$24,$B$20&lt;$G$24),G80+(F80-G80)/($F$24-$G$24)*($B$20-$G$24),IF(AND($B$20&gt;=$E$24,$B$20&lt;$F$24),F80+(E80-F80)/($E$24-$F$24)*($B$20-$F$24),IF($B$20&lt;$E$24,E80,0))))))</f>
        <v>8.5</v>
      </c>
      <c r="E80" s="1130">
        <v>8.5</v>
      </c>
      <c r="F80" s="1130">
        <v>9.1999999999999993</v>
      </c>
      <c r="G80" s="1130">
        <v>9.9</v>
      </c>
      <c r="H80" s="1131">
        <f t="shared" si="30"/>
        <v>8.91</v>
      </c>
      <c r="I80" s="1126">
        <v>0.9</v>
      </c>
      <c r="J80" s="1129">
        <f>IF(AND('2-Dati generali-Cond. utilizzo'!$C$42=2,'2-Dati generali-Cond. utilizzo'!$C$42=3),IF($H$20&lt;=$K$24,K80,IF(AND($H$20&gt;=$K$24,$H$20&lt;=$L$24),K80+(L80-K80)/($L$24-$K$24)*($H$20-$K$24),IF(AND($H$20&gt;=$L$24,$H$20&lt;=$M$24),L80+(M80-L80)/($M$24-$L$24)*($H$20-$L$24),IF(AND($H$20&gt;=$M$24,$H$20&lt;=$N$24),M80+(N80-M80)/($N$24-$M$24)*($H$20-$M$24),IF(AND($H$20&gt;=$N$24,$H$20&lt;=$O$24),N80+(O80-N80)/($O$24-$N$24)*($H$20-$N$24),IF(AND($H$20&gt;=$O$24,$H$20&lt;=$P$24),O80+(P80-O80)/($P$24-$O$24)*($H$20-$O$24),IF($H$20&gt;$P$24,P80,0)))))))/'1-Ore funzionamento'!$AI$7,IF($H$20&lt;=$K$24,K80,IF(AND($H$20&gt;=$K$24,$H$20&lt;=$L$24),K80+(L80-K80)/($L$24-$K$24)*($H$20-$K$24),IF(AND($H$20&gt;=$L$24,$H$20&lt;=$M$24),L80+(M80-L80)/($M$24-$L$24)*($H$20-$L$24),IF(AND($H$20&gt;=$M$24,$H$20&lt;=$N$24),M80+(N80-M80)/($N$24-$M$24)*($H$20-$M$24),IF(AND($H$20&gt;=$N$24,$H$20&lt;=$O$24),N80+(O80-N80)/($O$24-$N$24)*($H$20-$N$24),IF(AND($H$20&gt;=$O$24,$H$20&lt;=$P$24),O80+(P80-O80)/($P$24-$O$24)*($H$20-$O$24),IF($H$20&gt;$P$24,P80,0))))))))</f>
        <v>7.7349999999999994</v>
      </c>
      <c r="K80" s="1130">
        <v>18</v>
      </c>
      <c r="L80" s="1130">
        <v>16.3</v>
      </c>
      <c r="M80" s="1130">
        <v>14.9</v>
      </c>
      <c r="N80" s="1130">
        <v>10.9</v>
      </c>
      <c r="O80" s="1130">
        <v>9.1</v>
      </c>
      <c r="P80" s="1131">
        <f t="shared" si="31"/>
        <v>7.7349999999999994</v>
      </c>
      <c r="Q80" s="1125">
        <v>0.85</v>
      </c>
      <c r="R80" s="1146"/>
      <c r="S80" s="1146"/>
      <c r="T80" s="1146"/>
      <c r="U80" s="1146"/>
      <c r="V80" s="1146"/>
      <c r="W80" s="1146"/>
      <c r="X80" s="1146"/>
      <c r="Y80" s="1146"/>
      <c r="Z80" s="1146"/>
    </row>
    <row r="81" spans="10:17" x14ac:dyDescent="0.25">
      <c r="J81" s="1090"/>
      <c r="L81" s="1090"/>
      <c r="M81" s="1090"/>
      <c r="N81" s="1090"/>
      <c r="O81" s="1090"/>
      <c r="P81" s="1090"/>
      <c r="Q81" s="1090"/>
    </row>
    <row r="82" spans="10:17" x14ac:dyDescent="0.25">
      <c r="J82" s="1090"/>
      <c r="L82" s="1090"/>
      <c r="M82" s="1090"/>
      <c r="N82" s="1090"/>
      <c r="O82" s="1090"/>
      <c r="P82" s="1090"/>
      <c r="Q82" s="1090"/>
    </row>
    <row r="83" spans="10:17" x14ac:dyDescent="0.25">
      <c r="J83" s="1090"/>
      <c r="L83" s="1090"/>
      <c r="M83" s="1090"/>
      <c r="N83" s="1090"/>
      <c r="O83" s="1090"/>
      <c r="P83" s="1090"/>
      <c r="Q83" s="1090"/>
    </row>
    <row r="84" spans="10:17" x14ac:dyDescent="0.25">
      <c r="J84" s="1090"/>
      <c r="L84" s="1090"/>
      <c r="M84" s="1090"/>
      <c r="N84" s="1090"/>
      <c r="O84" s="1090"/>
      <c r="P84" s="1090"/>
      <c r="Q84" s="1090"/>
    </row>
    <row r="85" spans="10:17" x14ac:dyDescent="0.25">
      <c r="J85" s="1090"/>
      <c r="L85" s="1090"/>
      <c r="M85" s="1090"/>
      <c r="N85" s="1090"/>
      <c r="O85" s="1090"/>
      <c r="P85" s="1090"/>
      <c r="Q85" s="1090"/>
    </row>
    <row r="86" spans="10:17" x14ac:dyDescent="0.25">
      <c r="J86" s="1090"/>
      <c r="L86" s="1090"/>
      <c r="M86" s="1090"/>
      <c r="N86" s="1090"/>
      <c r="O86" s="1090"/>
      <c r="P86" s="1090"/>
      <c r="Q86" s="1090"/>
    </row>
    <row r="87" spans="10:17" x14ac:dyDescent="0.25">
      <c r="J87" s="1090"/>
      <c r="L87" s="1090"/>
      <c r="M87" s="1090"/>
      <c r="N87" s="1090"/>
      <c r="O87" s="1090"/>
      <c r="P87" s="1090"/>
      <c r="Q87" s="1090"/>
    </row>
    <row r="88" spans="10:17" x14ac:dyDescent="0.25">
      <c r="J88" s="1090"/>
      <c r="L88" s="1090"/>
      <c r="M88" s="1090"/>
      <c r="N88" s="1090"/>
      <c r="O88" s="1090"/>
      <c r="P88" s="1090"/>
      <c r="Q88" s="1090"/>
    </row>
    <row r="89" spans="10:17" x14ac:dyDescent="0.25">
      <c r="J89" s="1090"/>
      <c r="L89" s="1090"/>
      <c r="M89" s="1090"/>
      <c r="N89" s="1090"/>
      <c r="O89" s="1090"/>
      <c r="P89" s="1090"/>
      <c r="Q89" s="1090"/>
    </row>
    <row r="90" spans="10:17" x14ac:dyDescent="0.25">
      <c r="J90" s="1090"/>
      <c r="L90" s="1090"/>
      <c r="M90" s="1090"/>
      <c r="N90" s="1090"/>
      <c r="O90" s="1090"/>
      <c r="P90" s="1090"/>
      <c r="Q90" s="1090"/>
    </row>
    <row r="91" spans="10:17" x14ac:dyDescent="0.25">
      <c r="J91" s="1090"/>
      <c r="L91" s="1090"/>
      <c r="M91" s="1090"/>
      <c r="N91" s="1090"/>
      <c r="O91" s="1090"/>
      <c r="P91" s="1090"/>
      <c r="Q91" s="1090"/>
    </row>
    <row r="92" spans="10:17" x14ac:dyDescent="0.25">
      <c r="J92" s="1090"/>
      <c r="L92" s="1090"/>
      <c r="M92" s="1090"/>
      <c r="N92" s="1090"/>
      <c r="O92" s="1090"/>
      <c r="P92" s="1090"/>
      <c r="Q92" s="1090"/>
    </row>
    <row r="93" spans="10:17" x14ac:dyDescent="0.25">
      <c r="J93" s="1090"/>
      <c r="L93" s="1090"/>
      <c r="M93" s="1090"/>
      <c r="N93" s="1090"/>
      <c r="O93" s="1090"/>
      <c r="P93" s="1090"/>
      <c r="Q93" s="1090"/>
    </row>
    <row r="94" spans="10:17" x14ac:dyDescent="0.25">
      <c r="J94" s="1090"/>
      <c r="L94" s="1090"/>
      <c r="M94" s="1090"/>
      <c r="N94" s="1090"/>
      <c r="O94" s="1090"/>
      <c r="P94" s="1090"/>
      <c r="Q94" s="1090"/>
    </row>
    <row r="95" spans="10:17" x14ac:dyDescent="0.25">
      <c r="J95" s="1090"/>
      <c r="L95" s="1090"/>
      <c r="M95" s="1090"/>
      <c r="N95" s="1090"/>
      <c r="O95" s="1090"/>
      <c r="P95" s="1090"/>
      <c r="Q95" s="1090"/>
    </row>
    <row r="96" spans="10:17" x14ac:dyDescent="0.25">
      <c r="J96" s="1090"/>
      <c r="L96" s="1090"/>
      <c r="M96" s="1090"/>
      <c r="N96" s="1090"/>
      <c r="O96" s="1090"/>
      <c r="P96" s="1090"/>
      <c r="Q96" s="1090"/>
    </row>
    <row r="97" spans="10:17" x14ac:dyDescent="0.25">
      <c r="J97" s="1090"/>
      <c r="L97" s="1090"/>
      <c r="M97" s="1090"/>
      <c r="N97" s="1090"/>
      <c r="O97" s="1090"/>
      <c r="P97" s="1090"/>
      <c r="Q97" s="1090"/>
    </row>
    <row r="98" spans="10:17" x14ac:dyDescent="0.25">
      <c r="J98" s="1090"/>
      <c r="L98" s="1090"/>
      <c r="M98" s="1090"/>
      <c r="N98" s="1090"/>
      <c r="O98" s="1090"/>
      <c r="P98" s="1090"/>
      <c r="Q98" s="1090"/>
    </row>
    <row r="99" spans="10:17" x14ac:dyDescent="0.25">
      <c r="J99" s="1090"/>
      <c r="L99" s="1090"/>
      <c r="M99" s="1090"/>
      <c r="N99" s="1090"/>
      <c r="O99" s="1090"/>
      <c r="P99" s="1090"/>
      <c r="Q99" s="1090"/>
    </row>
    <row r="100" spans="10:17" x14ac:dyDescent="0.25">
      <c r="J100" s="1090"/>
      <c r="L100" s="1090"/>
      <c r="M100" s="1090"/>
      <c r="N100" s="1090"/>
      <c r="O100" s="1090"/>
      <c r="P100" s="1090"/>
      <c r="Q100" s="1090"/>
    </row>
    <row r="101" spans="10:17" x14ac:dyDescent="0.25">
      <c r="J101" s="1090"/>
      <c r="L101" s="1090"/>
      <c r="M101" s="1090"/>
      <c r="N101" s="1090"/>
      <c r="O101" s="1090"/>
      <c r="P101" s="1090"/>
      <c r="Q101" s="1090"/>
    </row>
    <row r="102" spans="10:17" x14ac:dyDescent="0.25">
      <c r="J102" s="1090"/>
      <c r="L102" s="1090"/>
      <c r="M102" s="1090"/>
      <c r="N102" s="1090"/>
      <c r="O102" s="1090"/>
      <c r="P102" s="1090"/>
      <c r="Q102" s="1090"/>
    </row>
    <row r="103" spans="10:17" x14ac:dyDescent="0.25">
      <c r="J103" s="1090"/>
      <c r="L103" s="1090"/>
      <c r="M103" s="1090"/>
      <c r="N103" s="1090"/>
      <c r="O103" s="1090"/>
      <c r="P103" s="1090"/>
      <c r="Q103" s="1090"/>
    </row>
    <row r="104" spans="10:17" x14ac:dyDescent="0.25">
      <c r="J104" s="1090"/>
      <c r="L104" s="1090"/>
      <c r="M104" s="1090"/>
      <c r="N104" s="1090"/>
      <c r="O104" s="1090"/>
      <c r="P104" s="1090"/>
      <c r="Q104" s="1090"/>
    </row>
    <row r="105" spans="10:17" x14ac:dyDescent="0.25">
      <c r="J105" s="1090"/>
      <c r="L105" s="1090"/>
      <c r="M105" s="1090"/>
      <c r="N105" s="1090"/>
      <c r="O105" s="1090"/>
      <c r="P105" s="1090"/>
      <c r="Q105" s="1090"/>
    </row>
    <row r="106" spans="10:17" x14ac:dyDescent="0.25">
      <c r="J106" s="1090"/>
      <c r="L106" s="1090"/>
      <c r="M106" s="1090"/>
      <c r="N106" s="1090"/>
      <c r="O106" s="1090"/>
      <c r="P106" s="1090"/>
      <c r="Q106" s="1090"/>
    </row>
    <row r="107" spans="10:17" x14ac:dyDescent="0.25">
      <c r="J107" s="1090"/>
      <c r="L107" s="1090"/>
      <c r="M107" s="1090"/>
      <c r="N107" s="1090"/>
      <c r="O107" s="1090"/>
      <c r="P107" s="1090"/>
      <c r="Q107" s="1090"/>
    </row>
    <row r="108" spans="10:17" x14ac:dyDescent="0.25">
      <c r="J108" s="1090"/>
      <c r="L108" s="1090"/>
      <c r="M108" s="1090"/>
      <c r="N108" s="1090"/>
      <c r="O108" s="1090"/>
      <c r="P108" s="1090"/>
      <c r="Q108" s="1090"/>
    </row>
    <row r="109" spans="10:17" x14ac:dyDescent="0.25">
      <c r="J109" s="1090"/>
      <c r="L109" s="1090"/>
      <c r="M109" s="1090"/>
      <c r="N109" s="1090"/>
      <c r="O109" s="1090"/>
      <c r="P109" s="1090"/>
      <c r="Q109" s="1090"/>
    </row>
    <row r="110" spans="10:17" x14ac:dyDescent="0.25">
      <c r="J110" s="1090"/>
      <c r="L110" s="1090"/>
      <c r="M110" s="1090"/>
      <c r="N110" s="1090"/>
      <c r="O110" s="1090"/>
      <c r="P110" s="1090"/>
      <c r="Q110" s="1090"/>
    </row>
    <row r="111" spans="10:17" x14ac:dyDescent="0.25">
      <c r="J111" s="1090"/>
      <c r="L111" s="1090"/>
      <c r="M111" s="1090"/>
      <c r="N111" s="1090"/>
      <c r="O111" s="1090"/>
      <c r="P111" s="1090"/>
      <c r="Q111" s="1090"/>
    </row>
    <row r="112" spans="10:17" x14ac:dyDescent="0.25">
      <c r="J112" s="1090"/>
      <c r="L112" s="1090"/>
      <c r="M112" s="1090"/>
      <c r="N112" s="1090"/>
      <c r="O112" s="1090"/>
      <c r="P112" s="1090"/>
      <c r="Q112" s="1090"/>
    </row>
  </sheetData>
  <mergeCells count="2">
    <mergeCell ref="G9:J9"/>
    <mergeCell ref="A9:D9"/>
  </mergeCells>
  <phoneticPr fontId="7" type="noConversion"/>
  <pageMargins left="0.75" right="0.75" top="1" bottom="1" header="0.5" footer="0.5"/>
  <pageSetup paperSize="9" orientation="portrait" horizontalDpi="1200" verticalDpi="12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25</vt:i4>
      </vt:variant>
      <vt:variant>
        <vt:lpstr>Intervalli denominati</vt:lpstr>
      </vt:variant>
      <vt:variant>
        <vt:i4>11</vt:i4>
      </vt:variant>
    </vt:vector>
  </HeadingPairs>
  <TitlesOfParts>
    <vt:vector size="36" baseType="lpstr">
      <vt:lpstr>Riduzioni consumi VRV</vt:lpstr>
      <vt:lpstr>Rendimenti e consumi chiller</vt:lpstr>
      <vt:lpstr>Rendimenti e consumi caldaia</vt:lpstr>
      <vt:lpstr>Specchio</vt:lpstr>
      <vt:lpstr>Equazioni</vt:lpstr>
      <vt:lpstr>Defrost VRV</vt:lpstr>
      <vt:lpstr>Rendimenti e consumi VRV</vt:lpstr>
      <vt:lpstr>Dati x formule</vt:lpstr>
      <vt:lpstr>Rendimenti e consumi ghp</vt:lpstr>
      <vt:lpstr>Riassunto riferimenti</vt:lpstr>
      <vt:lpstr>1-Ore funzionamento</vt:lpstr>
      <vt:lpstr>2-Dati generali-Cond. utilizzo</vt:lpstr>
      <vt:lpstr>3-Caratteristiche dei sistemi</vt:lpstr>
      <vt:lpstr>4-Costi sistemi</vt:lpstr>
      <vt:lpstr>4bis-Incentivi</vt:lpstr>
      <vt:lpstr>CET Vs Ecobonus</vt:lpstr>
      <vt:lpstr>5-Costi di funziona.- pay back</vt:lpstr>
      <vt:lpstr>6-Società gestione calore</vt:lpstr>
      <vt:lpstr>6 - Riepilogo</vt:lpstr>
      <vt:lpstr>Business Plan</vt:lpstr>
      <vt:lpstr>Lea. fin. 5 Y</vt:lpstr>
      <vt:lpstr>Lea. fin. 7 Y</vt:lpstr>
      <vt:lpstr>WACC</vt:lpstr>
      <vt:lpstr>ANALISI FINALE</vt:lpstr>
      <vt:lpstr>PRINT</vt:lpstr>
      <vt:lpstr>'1-Ore funzionamento'!Area_stampa</vt:lpstr>
      <vt:lpstr>'2-Dati generali-Cond. utilizzo'!Area_stampa</vt:lpstr>
      <vt:lpstr>'3-Caratteristiche dei sistemi'!Area_stampa</vt:lpstr>
      <vt:lpstr>'4bis-Incentivi'!Area_stampa</vt:lpstr>
      <vt:lpstr>'4-Costi sistemi'!Area_stampa</vt:lpstr>
      <vt:lpstr>'5-Costi di funziona.- pay back'!Area_stampa</vt:lpstr>
      <vt:lpstr>PRINT!Area_stampa</vt:lpstr>
      <vt:lpstr>'Riassunto riferimenti'!Area_stampa</vt:lpstr>
      <vt:lpstr>Tabella_caratteristiche_ghp</vt:lpstr>
      <vt:lpstr>Tabella_tipo_gas</vt:lpstr>
      <vt:lpstr>Tabella_tipo_impianto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AMMORTAMENTO GHP</dc:title>
  <dc:creator>Adriana Dardes</dc:creator>
  <cp:lastModifiedBy>Andrea Zagaglia</cp:lastModifiedBy>
  <cp:lastPrinted>2021-05-28T14:23:56Z</cp:lastPrinted>
  <dcterms:created xsi:type="dcterms:W3CDTF">2006-08-18T07:42:28Z</dcterms:created>
  <dcterms:modified xsi:type="dcterms:W3CDTF">2021-06-10T14:53:26Z</dcterms:modified>
</cp:coreProperties>
</file>